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80" windowWidth="17520" windowHeight="10740" tabRatio="636" activeTab="0"/>
  </bookViews>
  <sheets>
    <sheet name="Prospekt" sheetId="1" r:id="rId1"/>
    <sheet name="Vad får jag för..." sheetId="2" r:id="rId2"/>
    <sheet name="Skriv ut" sheetId="3" r:id="rId3"/>
    <sheet name="Förklaringar och Vanliga frågor" sheetId="4" r:id="rId4"/>
    <sheet name="Om.." sheetId="5" r:id="rId5"/>
  </sheets>
  <definedNames/>
  <calcPr fullCalcOnLoad="1"/>
</workbook>
</file>

<file path=xl/sharedStrings.xml><?xml version="1.0" encoding="utf-8"?>
<sst xmlns="http://schemas.openxmlformats.org/spreadsheetml/2006/main" count="222" uniqueCount="216">
  <si>
    <t>Detta dokument</t>
  </si>
  <si>
    <t>Om uträkningarna i dokumentet</t>
  </si>
  <si>
    <t>Det är många saker som spelar in när man ska räkna ut den faktiska kostnaden när man köper en lägenhet. Detta dokument är tänkt att låta dig få en god översikt.</t>
  </si>
  <si>
    <t>Topplån</t>
  </si>
  <si>
    <t>Bottenlån</t>
  </si>
  <si>
    <t>Vit ruta beräknas och fylls i automatiskt</t>
  </si>
  <si>
    <t>Resterande</t>
  </si>
  <si>
    <t>A1. Ränta</t>
  </si>
  <si>
    <t>A2. Andel</t>
  </si>
  <si>
    <t>A3. Egen insats</t>
  </si>
  <si>
    <t>A1</t>
  </si>
  <si>
    <t>A2</t>
  </si>
  <si>
    <t>A3</t>
  </si>
  <si>
    <t>A4</t>
  </si>
  <si>
    <t>B1</t>
  </si>
  <si>
    <t>B2</t>
  </si>
  <si>
    <t>B3</t>
  </si>
  <si>
    <t>B4</t>
  </si>
  <si>
    <t>B5</t>
  </si>
  <si>
    <t>B6</t>
  </si>
  <si>
    <t>B7</t>
  </si>
  <si>
    <t>B8</t>
  </si>
  <si>
    <t>B9</t>
  </si>
  <si>
    <t>B10</t>
  </si>
  <si>
    <t>B11</t>
  </si>
  <si>
    <t>B12</t>
  </si>
  <si>
    <t>B13</t>
  </si>
  <si>
    <t>B14</t>
  </si>
  <si>
    <t>B15</t>
  </si>
  <si>
    <t>B16</t>
  </si>
  <si>
    <t>B17</t>
  </si>
  <si>
    <t>B18</t>
  </si>
  <si>
    <t>B19</t>
  </si>
  <si>
    <t>Frågor och kommentarer</t>
  </si>
  <si>
    <t>Beskrivning</t>
  </si>
  <si>
    <t>Ämne</t>
  </si>
  <si>
    <t>Gul ruta betyder alltid att du kan fylla i värdet själv</t>
  </si>
  <si>
    <t>Vit ruta betyder alltid att värdet beräknas automatiskt. Du bör inte ändra innehållet i dessa rutor.</t>
  </si>
  <si>
    <t>Egen insats är den kontanta insats du själv kan använda från dina besparingar. Denna bör vara större än handpenningen.</t>
  </si>
  <si>
    <t>Amortering per månad kan man ofta själv styra hur mycket man vill lägga undan. Har man topplån kräver banken oftast att man amorterar, det brukar handla om några hundralappar per månad.</t>
  </si>
  <si>
    <t>Prospektnamn kan vara i princip vad som helst men lättast är kanske om du döper prospektet efter adressen ex. Vackra vägen 56</t>
  </si>
  <si>
    <t>Yta är den totala ytan på prospektet.</t>
  </si>
  <si>
    <t>C1</t>
  </si>
  <si>
    <t>C2</t>
  </si>
  <si>
    <t>BER: Bottenlån storlek</t>
  </si>
  <si>
    <t>BER: Bottenlån + Topplån</t>
  </si>
  <si>
    <t xml:space="preserve">BER: Topplån </t>
  </si>
  <si>
    <t>Du är välkommen att ändra och förbättra dokumentet, men var som sagt vänlig att behålla informationen om källans ursprung, dvs logotypen i övre vänstra hörnet.</t>
  </si>
  <si>
    <t>Här samlar du alla prospekt som du för närvarande är med i budgivningen på. Du kan då enkelt jämföra kostnad och pris för lägenheterna.</t>
  </si>
  <si>
    <t>Här samlar du prospekt som du av någon anledning inte budar på längre. Det är bra att spara dessa beräkningar för att använda som referens foch jämföra med dina nuvarande prospekt.</t>
  </si>
  <si>
    <t>Månadsavgiften är avgiften du betalar till bostadsrättsföreningen. Den brukar stå väldigt klart angiven på prospektdokument och annonser.</t>
  </si>
  <si>
    <t>Utgångspriset är priset som mäklaren satt som pris för lägenheten. Det är från detta pris budgivningen startar. Ingenting beräknas utifrån detta pris!</t>
  </si>
  <si>
    <t>Mitt högsta pris är en kom-ihåg för dig själv hur mycket du är beredd att betala för prospektet. Det kan vara bra att sätta ett maxpris för att inte råka förivra sig i budgivningen. Ingenting beräknas utifrån detta pris!</t>
  </si>
  <si>
    <t>Beräkningspris är det priset som används för att beräkna månadskostnader, lån mm. Dvs alla kolumner till höger. Det är lämpligt att använda detta för att tex se vad det nuvarande högsta budet är (och kostar).</t>
  </si>
  <si>
    <t>Pris per m2 är priset per kvadratmeter. Det är en vanlig indikator på hur dyr lägenheten är jämfört med andra lägenheter. Den är dock något missvisande då den inte tar hänsyn till månadsavgiften (som påverkar priset!)</t>
  </si>
  <si>
    <t>Månadsavgift per kvadratmeter hjälper dig att förstå hur hög månadsavgiften är i en bostadsrättsförening jämfört med andra.</t>
  </si>
  <si>
    <t>Topplån är ett lån som är högre risk än bottenlånet och har därmed också en högre ränta.</t>
  </si>
  <si>
    <t>Bottenlånet är den största delen av ett lån och är det "stora" lånet. Den har också den lägsta räntan.</t>
  </si>
  <si>
    <t>Detta är kostnaden för ditt bottenlån per månad i ränta.</t>
  </si>
  <si>
    <t>Här har du möjlighet att lägga in kommentarer om ett prospekt, tex intressanta detaljer.</t>
  </si>
  <si>
    <t>Detta är summan av räkntekostnaderna för dina lån (handpenning, topplån och bottenlån). Summan är exklusive avdrag och amorteringar.</t>
  </si>
  <si>
    <t>Detta är summan av räntekostnaderna för dina lån efter att du gjort 30 % avdrag. Detta är alltså hur mycket prospektet skulle kosta dig egentligen.</t>
  </si>
  <si>
    <t>Detta är summan av alla utgifter för prospektet per månad (inklusive amorteringar). Detta är alltså hur mycket som försvinner från plånboken varje månad.</t>
  </si>
  <si>
    <t>x</t>
  </si>
  <si>
    <t>Meddelanderuta</t>
  </si>
  <si>
    <t>BER: Ej finansierat av bank</t>
  </si>
  <si>
    <t>BER: Ej finansierat minus egen insats</t>
  </si>
  <si>
    <t>BER: Statiskt, topplån storlek</t>
  </si>
  <si>
    <t>BER: Topplån plus/minus handpenning kvar</t>
  </si>
  <si>
    <t>Vanliga frågor</t>
  </si>
  <si>
    <t>Hur gör jag för att lägga till fler rader för prospekt? När jag gör det följer inte beräkningarna med!</t>
  </si>
  <si>
    <t>Markera en rad i prospektlistan genom att markera raden (dvs klicka på radsiffran i Excel). Kopiera denna rad (tex. Högerklicka och välj kopiera). Markera raden under och infoga raden (högerklicka och välj Infoga rad).</t>
  </si>
  <si>
    <t>Jag vill göra ändringar i dokumentet för att passa min specifika situation bättre. Går det bra? Hur gör jag?</t>
  </si>
  <si>
    <t>Jag vill lägga upp detta dokument, eller mitt modifierade dokument, på min hemsida eller blogg. Får jag det?</t>
  </si>
  <si>
    <t>Det går alldeles utmärkt. Vi kan dock inte hjälpa dig med exakt hur du ska lösa Excel-funktioner och så. Dokumentet kräver något mer än grundläggande kunskaper i Excel för att förstå i sin helhet.</t>
  </si>
  <si>
    <t>Handpenningen är normalt 10 % och är en summa du måste betala inom en vecka efter att du skrivit på köpeavtalet.</t>
  </si>
  <si>
    <t>BER: Belåningsgrad</t>
  </si>
  <si>
    <t>B2. Prospektnamn (tex adress)</t>
  </si>
  <si>
    <t>Högrisklån</t>
  </si>
  <si>
    <t>C1. Aktiva prospekt - Lägenheter som du för närvarande överväger och är med i budgivningen på.</t>
  </si>
  <si>
    <t>Om du inte har tillräckligt med pengar för att täcka den andel som banken ger lån på måste du antingen byta bank eller ta ett högrisk Med högrisklån menas här ett lån utan säkerhet och de är ofta dyra. I detta kalkylblad används en schablonränta på 6.99 % men sådana lån har ofta högre ränta än så när man tar hänsyn till avgifter mm. Den röda siffran (den är bara synlig när du har högrisklån) syftar till belåningsgraden.</t>
  </si>
  <si>
    <t>Detta är kostnaden för räntan per månad för ditt, eventuella, topplån.</t>
  </si>
  <si>
    <t>Detta är kostnaden för räntan per månad för ditt, eventuella, högrisklån.</t>
  </si>
  <si>
    <t>B20</t>
  </si>
  <si>
    <t>B21</t>
  </si>
  <si>
    <t>Försäljningspris nuvarande bostad (uppskattningsvis)</t>
  </si>
  <si>
    <t>Kontanter jag kan lägga till</t>
  </si>
  <si>
    <t xml:space="preserve">Såhär mycket vill jag högst lägga ut per månad </t>
  </si>
  <si>
    <r>
      <t xml:space="preserve">Denna summa handlar om din </t>
    </r>
    <r>
      <rPr>
        <b/>
        <sz val="10"/>
        <rFont val="Arial"/>
        <family val="2"/>
      </rPr>
      <t>utgift</t>
    </r>
    <r>
      <rPr>
        <sz val="10"/>
        <rFont val="Arial"/>
        <family val="0"/>
      </rPr>
      <t xml:space="preserve"> per månad, dvs ej inräknat avdrag</t>
    </r>
  </si>
  <si>
    <t>Baserat på denna ränta</t>
  </si>
  <si>
    <t>Vad får du för dina pengar?</t>
  </si>
  <si>
    <t>Såhär mycket får lägenheten kosta per månad (efter avdrag)</t>
  </si>
  <si>
    <t>Exempel 1</t>
  </si>
  <si>
    <t>Exempel 2</t>
  </si>
  <si>
    <t>Exempel 3</t>
  </si>
  <si>
    <t>Månadsavgift</t>
  </si>
  <si>
    <t>alt.</t>
  </si>
  <si>
    <t>Total betalningsförmåga</t>
  </si>
  <si>
    <t>Exempel 4</t>
  </si>
  <si>
    <t>Exempel 5</t>
  </si>
  <si>
    <t>Exempel 6</t>
  </si>
  <si>
    <t>Exempel 7</t>
  </si>
  <si>
    <t>Exempel 8</t>
  </si>
  <si>
    <t>Exempel 9</t>
  </si>
  <si>
    <t>Exempel 10</t>
  </si>
  <si>
    <t>Exempel 11</t>
  </si>
  <si>
    <t>Exempel 12</t>
  </si>
  <si>
    <t>Exempel 13</t>
  </si>
  <si>
    <t>Exempel 14</t>
  </si>
  <si>
    <t>Exempel 15</t>
  </si>
  <si>
    <t>Exempel 16</t>
  </si>
  <si>
    <t>Exempel 17</t>
  </si>
  <si>
    <t>Nuvarande lån</t>
  </si>
  <si>
    <t>Dra gärna till lite med räntan här, så att du klarar dig när räntan är hög!</t>
  </si>
  <si>
    <r>
      <t>Högsta bud (</t>
    </r>
    <r>
      <rPr>
        <sz val="10"/>
        <rFont val="Arial"/>
        <family val="0"/>
      </rPr>
      <t>baserat på kostnad</t>
    </r>
    <r>
      <rPr>
        <b/>
        <sz val="10"/>
        <rFont val="Arial"/>
        <family val="2"/>
      </rPr>
      <t>)</t>
    </r>
  </si>
  <si>
    <r>
      <t>Högsta bud (</t>
    </r>
    <r>
      <rPr>
        <sz val="10"/>
        <rFont val="Arial"/>
        <family val="0"/>
      </rPr>
      <t>baserat på utgift</t>
    </r>
    <r>
      <rPr>
        <b/>
        <sz val="10"/>
        <rFont val="Arial"/>
        <family val="2"/>
      </rPr>
      <t>)</t>
    </r>
  </si>
  <si>
    <r>
      <t xml:space="preserve">Denna summa är vad lägenheten </t>
    </r>
    <r>
      <rPr>
        <b/>
        <sz val="10"/>
        <rFont val="Arial"/>
        <family val="2"/>
      </rPr>
      <t>kostar</t>
    </r>
    <r>
      <rPr>
        <sz val="10"/>
        <rFont val="Arial"/>
        <family val="0"/>
      </rPr>
      <t xml:space="preserve"> på riktigt (mostsvarande en hyra)</t>
    </r>
  </si>
  <si>
    <t>Eget exempel (från markerat prospekt i prospektlistan)</t>
  </si>
  <si>
    <t>Har du inga lån så sätt 0</t>
  </si>
  <si>
    <t>Det här blir din kontantinsats</t>
  </si>
  <si>
    <t>Nytt lån</t>
  </si>
  <si>
    <t>Gul ruta betyder att den kan fyllas i</t>
  </si>
  <si>
    <t>B1. Gör till "aktivt prospekt" (Markera med "x")</t>
  </si>
  <si>
    <t>Min bostad</t>
  </si>
  <si>
    <t>C2. Min nuvarande bostad (jämförelse)</t>
  </si>
  <si>
    <t>Värderad till</t>
  </si>
  <si>
    <t>Informationen ovan hämtas ifrån fliken Låneuppgifter</t>
  </si>
  <si>
    <t>A4. Ev. Amortering</t>
  </si>
  <si>
    <t>Här kan du räknat ut hur du maximalt kan bjuda på ett prospekt</t>
  </si>
  <si>
    <t>baserat på din egna insats och önskad kostnad.</t>
  </si>
  <si>
    <t>Säljer du ingen bostad så sätt 0.</t>
  </si>
  <si>
    <t>B4. Klistra in prospektets webblänk</t>
  </si>
  <si>
    <t>C3</t>
  </si>
  <si>
    <t>Här lägger du in uppgifter om din nuvarande lägenhet (om du har en, och ska sälja den)</t>
  </si>
  <si>
    <t>Här kan du skriva in visningstiden för att komma ihåg den.</t>
  </si>
  <si>
    <t>Här kan du lägga in en länk (webbadressen) till prospektets objektbeskrivning hos mäklaren.</t>
  </si>
  <si>
    <t>B5. Yta (m2)</t>
  </si>
  <si>
    <t>B6. Månadsavgift</t>
  </si>
  <si>
    <t>B7. Utgångspris</t>
  </si>
  <si>
    <t>B8. Det här är mitt högsta bud!</t>
  </si>
  <si>
    <t>B9. Beräkningspris (tex. högsta bud för närvarande)</t>
  </si>
  <si>
    <t>B10. Summa utgifter (månadsavgift, amorteringar, räntor)</t>
  </si>
  <si>
    <t>Förklaringar till kolumnerna hittar du under fliken Förklaringar och Vanliga frågor.</t>
  </si>
  <si>
    <t>B12. Pris / m2</t>
  </si>
  <si>
    <t>B13. Månadsavgift / m2</t>
  </si>
  <si>
    <t>Detta är kostnaden för prospektet per månad, dvs vad du egentligen betalar för bostaden. Detta är att jämföra med hyran för en hyreslägenhet.</t>
  </si>
  <si>
    <t>B22</t>
  </si>
  <si>
    <t>B23</t>
  </si>
  <si>
    <t>B24</t>
  </si>
  <si>
    <t>B 14. Månadskostnad / m2</t>
  </si>
  <si>
    <t>B15. Handpenning (10 %)</t>
  </si>
  <si>
    <t>B16. Ev. högrisklån (kr)</t>
  </si>
  <si>
    <t>B17. Topplån (kr)</t>
  </si>
  <si>
    <t>B18. Bottenlån (kr)</t>
  </si>
  <si>
    <t>B19. Högrisklån, kr / mån</t>
  </si>
  <si>
    <t>B20. Topplån, kr / mån</t>
  </si>
  <si>
    <t>B21. Bottenlån, kr / mån</t>
  </si>
  <si>
    <t>B22. Summa lånekostnad, kr / mån</t>
  </si>
  <si>
    <t xml:space="preserve">B23. Summa lånekostnad (efter avdrag), kr / mån </t>
  </si>
  <si>
    <r>
      <t xml:space="preserve">Genom att markera ett prospekt med bokstaven </t>
    </r>
    <r>
      <rPr>
        <b/>
        <sz val="10"/>
        <rFont val="Arial"/>
        <family val="2"/>
      </rPr>
      <t xml:space="preserve">x </t>
    </r>
    <r>
      <rPr>
        <sz val="10"/>
        <rFont val="Arial"/>
        <family val="0"/>
      </rPr>
      <t>i denna kolumn, markerar du att detta prospekt ska användas för beräkningar på tex Min Ekonomi.</t>
    </r>
  </si>
  <si>
    <t>B11. Summa kostnader per månad    (efter avdrag)</t>
  </si>
  <si>
    <t>Månadskostnad per kvadratmeter är en mycket viktig indikator för dig när du ska jämföra dina olika prospekt. Med den kan du verkligen se hur mycket du verkligen betalar för varje kvadratmeter (månadsavgift inkluderat).</t>
  </si>
  <si>
    <t>Prospekt</t>
  </si>
  <si>
    <t>Mån avg</t>
  </si>
  <si>
    <t>Utgångspris</t>
  </si>
  <si>
    <t>Testgatan 12</t>
  </si>
  <si>
    <t>B3. Visning (datum och tid) &amp; egen kommentar</t>
  </si>
  <si>
    <t>Sön 13.00-13.45</t>
  </si>
  <si>
    <t>Testgränd 16</t>
  </si>
  <si>
    <t>Potentiellt fynd, sliten</t>
  </si>
  <si>
    <t>http://www.hemnet.se/</t>
  </si>
  <si>
    <t>http://www.bovision.se</t>
  </si>
  <si>
    <t>Mitt betyg (av 10)</t>
  </si>
  <si>
    <t>C3. Övergivna prospekt - Lägenheter  från C1 som du övergivit på grund av olika orsaker</t>
  </si>
  <si>
    <t>B24. Ytterligare kommentarer</t>
  </si>
  <si>
    <t>Visningstid / kommentar</t>
  </si>
  <si>
    <t>Betyg</t>
  </si>
  <si>
    <t>Visningsschema - att skriva ut inför visningarna</t>
  </si>
  <si>
    <t>Finns det vindsförråd eller källarförråd?</t>
  </si>
  <si>
    <t>Låter det mycket utifrån? Öppna fönstrena och lyssna.</t>
  </si>
  <si>
    <t>Vilka väggar är bärande? Det kan vara bra att veta om du vill ta bort någon vägg sedan.</t>
  </si>
  <si>
    <t>Skulle det finnas plats för en loftsäng?</t>
  </si>
  <si>
    <t>Finns det en frys? Ugn?</t>
  </si>
  <si>
    <t>Var skulle du ställa: köksgeråd, dammsugare, tvättkorg, micro, dator/TV? Var skulle du laga maten?</t>
  </si>
  <si>
    <t>Checklista på visningen:</t>
  </si>
  <si>
    <t>Är köket och badrummet stambytt? När?</t>
  </si>
  <si>
    <t>Finns det hiss?</t>
  </si>
  <si>
    <t>Hur ser badrummet ut? Är det slitet? Snyggt?</t>
  </si>
  <si>
    <t>Finns det döda ytor? Oproportionerligt stora utrymmen man inte kan använda till något praktiskt.</t>
  </si>
  <si>
    <t>Checklistan är hämtad från Köpa Bostad-guidens checklista (Kap 4)</t>
  </si>
  <si>
    <t>Är det mycket insyn? Har fönstrena på andra sidan gatan har persiennerna nere?</t>
  </si>
  <si>
    <t>Se där för mer information.</t>
  </si>
  <si>
    <t xml:space="preserve">Är lägenheten lyhörd? </t>
  </si>
  <si>
    <t xml:space="preserve">Fönstret i sovrummet – Vad finns för eventuella störningskällor utanför? </t>
  </si>
  <si>
    <t>Hur ser fasaden ut? Sliten? Fräsch?</t>
  </si>
  <si>
    <t>Hur ser trapphuset ut? Slitet? Snyggt? Städat?</t>
  </si>
  <si>
    <t>Vilken typ av golv är det i de olika rummen?</t>
  </si>
  <si>
    <t>Skulle det gå att ställa in tvättmaskin?</t>
  </si>
  <si>
    <t>Detta visningsschema hämtas automatiskt från Prospekt-fliken</t>
  </si>
  <si>
    <t xml:space="preserve">Hur är lägenheten vid de olika årstiderna? </t>
  </si>
  <si>
    <t>ENKEL VERSION (Mer omfattande version finns på hemsidan)</t>
  </si>
  <si>
    <t xml:space="preserve">Här fyller du i räntan för topplån och bottenlån. </t>
  </si>
  <si>
    <t>Ange hur stor del som är topplån respektive bottenlån, om du har 90% bottenlån, 5% topplån och 5% kontant så fyller du i 90 respektive 5 %.</t>
  </si>
  <si>
    <t>www.boupplysningen.se</t>
  </si>
  <si>
    <t>BoUpplysningen.se</t>
  </si>
  <si>
    <t>Visst. Så länge du behåller källinformationen tydlig och loggan högst upp till vänster är det ok. Meddela info@boupplysningen.se innan du laddar upp dokumentet.</t>
  </si>
  <si>
    <t>Kalkylen är fri att ändra och distribuera till vänner. Vill du lägga upp kalkylen offentligt, v.v. Kontakta info@boupplysnigen.se först.</t>
  </si>
  <si>
    <t>BoUpplysningen ansvarar inte för att samtliga uträkningar stämmer till 100%. BoUpplysningen tar inte ansvar för fel som uppkommit pga beräkningar i denna kalkyl.</t>
  </si>
  <si>
    <t xml:space="preserve">Detta dokument är skapat av BoUpplysningen.se, du får fritt distribuera dokumentet i sin ursprungliga samt modifierade form, förutsatt att du behåller informationen om källans ursprung. </t>
  </si>
  <si>
    <t>BoUpplysningen.se är en sida på nätet som hjälper dig när du ska köpa, sälja, byta bostad mm. Du får tips på vad du ska tänka på i alla olika delar av respektive fas.</t>
  </si>
  <si>
    <t>Om BoUpplysningen.se</t>
  </si>
  <si>
    <t>BoUpplysningen.se tar dock inte ansvar för att informationen här är 100%-igt korrekt. BoUpplysningen tar heller inte ansvar för fel som uppkommer på grund av felaktiga beräkningar i detta dokument.</t>
  </si>
  <si>
    <t>Har du några frågor eller kommentarer om detta dokument så är du varmt välkommen att skriva till info@boupplysningen.se</t>
  </si>
  <si>
    <t>Har du gjort några förändringar i beräkningar, utförande mm som du tycker fler borde ta del av, mejla då gärna in ditt modifierade dokument till info@boupplysningen.se så är det troligt att vi tar med det i nästa version!</t>
  </si>
  <si>
    <t>BoUpplysningen.se ansvarar inte för att samtliga uträkningar stämmer till 100%. BoUpplysningen tar inte ansvar för fel som uppkommit pga beräkningar i denna kalkyl.</t>
  </si>
  <si>
    <t>Kalkylen är fri att ändra och distribuera till vänner. Vill du lägga upp kalkylen offentligt, v.v. Kontakta info@boupplysningen.se först.</t>
  </si>
</sst>
</file>

<file path=xl/styles.xml><?xml version="1.0" encoding="utf-8"?>
<styleSheet xmlns="http://schemas.openxmlformats.org/spreadsheetml/2006/main">
  <numFmts count="1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0\ &quot;kr&quot;"/>
    <numFmt numFmtId="166" formatCode="&quot;Yes&quot;;&quot;Yes&quot;;&quot;No&quot;"/>
    <numFmt numFmtId="167" formatCode="&quot;True&quot;;&quot;True&quot;;&quot;False&quot;"/>
    <numFmt numFmtId="168" formatCode="&quot;On&quot;;&quot;On&quot;;&quot;Off&quot;"/>
    <numFmt numFmtId="169" formatCode="[$€-2]\ #,##0.00_);[Red]\([$€-2]\ #,##0.00\)"/>
  </numFmts>
  <fonts count="48">
    <font>
      <sz val="10"/>
      <name val="Arial"/>
      <family val="0"/>
    </font>
    <font>
      <sz val="8"/>
      <name val="Arial"/>
      <family val="2"/>
    </font>
    <font>
      <u val="single"/>
      <sz val="10"/>
      <color indexed="12"/>
      <name val="Arial"/>
      <family val="2"/>
    </font>
    <font>
      <b/>
      <sz val="10"/>
      <name val="Arial"/>
      <family val="2"/>
    </font>
    <font>
      <u val="single"/>
      <sz val="10"/>
      <color indexed="36"/>
      <name val="Arial"/>
      <family val="2"/>
    </font>
    <font>
      <sz val="10"/>
      <color indexed="55"/>
      <name val="Arial"/>
      <family val="2"/>
    </font>
    <font>
      <b/>
      <sz val="12"/>
      <name val="Arial"/>
      <family val="2"/>
    </font>
    <font>
      <b/>
      <sz val="10"/>
      <color indexed="10"/>
      <name val="Arial"/>
      <family val="2"/>
    </font>
    <font>
      <sz val="12"/>
      <name val="Arial"/>
      <family val="2"/>
    </font>
    <font>
      <sz val="18"/>
      <name val="Arial"/>
      <family val="2"/>
    </font>
    <font>
      <b/>
      <u val="single"/>
      <sz val="10"/>
      <color indexed="12"/>
      <name val="Arial"/>
      <family val="2"/>
    </font>
    <font>
      <sz val="14"/>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theme="0"/>
        <bgColor indexed="64"/>
      </patternFill>
    </fill>
    <fill>
      <patternFill patternType="solid">
        <fgColor rgb="FFFFFF99"/>
        <bgColor indexed="64"/>
      </patternFill>
    </fill>
    <fill>
      <patternFill patternType="solid">
        <fgColor theme="0" tint="-0.0499799996614456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87">
    <xf numFmtId="0" fontId="0" fillId="0" borderId="0" xfId="0" applyAlignment="1">
      <alignment/>
    </xf>
    <xf numFmtId="0" fontId="0" fillId="33" borderId="0" xfId="0" applyFill="1" applyAlignment="1">
      <alignment/>
    </xf>
    <xf numFmtId="0" fontId="2" fillId="33" borderId="0" xfId="53" applyFill="1" applyAlignment="1" applyProtection="1">
      <alignment/>
      <protection/>
    </xf>
    <xf numFmtId="0" fontId="3" fillId="33" borderId="0" xfId="0" applyFont="1" applyFill="1" applyAlignment="1">
      <alignment/>
    </xf>
    <xf numFmtId="49" fontId="0" fillId="33" borderId="0" xfId="0" applyNumberFormat="1" applyFill="1" applyAlignment="1">
      <alignment wrapText="1"/>
    </xf>
    <xf numFmtId="0" fontId="0" fillId="33" borderId="0" xfId="0" applyFill="1" applyAlignment="1">
      <alignment wrapText="1"/>
    </xf>
    <xf numFmtId="3" fontId="0" fillId="33" borderId="0" xfId="0" applyNumberFormat="1" applyFill="1" applyAlignment="1">
      <alignment/>
    </xf>
    <xf numFmtId="3" fontId="3" fillId="33" borderId="0" xfId="0" applyNumberFormat="1" applyFont="1" applyFill="1" applyAlignment="1">
      <alignment/>
    </xf>
    <xf numFmtId="0" fontId="0" fillId="34" borderId="0" xfId="0" applyFill="1" applyAlignment="1">
      <alignment/>
    </xf>
    <xf numFmtId="9" fontId="0" fillId="33" borderId="0" xfId="0" applyNumberFormat="1" applyFill="1" applyAlignment="1">
      <alignment/>
    </xf>
    <xf numFmtId="164" fontId="0" fillId="33" borderId="0" xfId="0" applyNumberFormat="1" applyFill="1" applyAlignment="1">
      <alignment/>
    </xf>
    <xf numFmtId="164" fontId="0" fillId="34" borderId="0" xfId="0" applyNumberFormat="1" applyFill="1" applyAlignment="1">
      <alignment/>
    </xf>
    <xf numFmtId="0" fontId="0" fillId="33" borderId="0" xfId="0" applyFill="1" applyBorder="1" applyAlignment="1">
      <alignment/>
    </xf>
    <xf numFmtId="3" fontId="0" fillId="33" borderId="0" xfId="0" applyNumberFormat="1" applyFill="1" applyBorder="1" applyAlignment="1">
      <alignment/>
    </xf>
    <xf numFmtId="164" fontId="0" fillId="0" borderId="0" xfId="0" applyNumberFormat="1" applyFill="1" applyAlignment="1">
      <alignment/>
    </xf>
    <xf numFmtId="0" fontId="3" fillId="33" borderId="0" xfId="0" applyFont="1" applyFill="1" applyBorder="1" applyAlignment="1">
      <alignment/>
    </xf>
    <xf numFmtId="0" fontId="0" fillId="33" borderId="10" xfId="0" applyFill="1" applyBorder="1" applyAlignment="1">
      <alignment/>
    </xf>
    <xf numFmtId="3" fontId="0" fillId="33" borderId="10" xfId="0" applyNumberForma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0" xfId="0" applyFont="1" applyFill="1" applyAlignment="1">
      <alignment/>
    </xf>
    <xf numFmtId="164" fontId="0" fillId="33" borderId="0" xfId="0" applyNumberFormat="1" applyFont="1" applyFill="1" applyAlignment="1">
      <alignment/>
    </xf>
    <xf numFmtId="164" fontId="0" fillId="34" borderId="0" xfId="0" applyNumberFormat="1" applyFont="1" applyFill="1" applyAlignment="1">
      <alignment vertical="top"/>
    </xf>
    <xf numFmtId="3" fontId="0" fillId="33" borderId="0" xfId="0" applyNumberFormat="1" applyFill="1" applyBorder="1" applyAlignment="1">
      <alignment horizontal="center"/>
    </xf>
    <xf numFmtId="0" fontId="0" fillId="34" borderId="0" xfId="0" applyFill="1" applyBorder="1" applyAlignment="1">
      <alignment horizontal="center"/>
    </xf>
    <xf numFmtId="3" fontId="0" fillId="34" borderId="0" xfId="0" applyNumberFormat="1" applyFill="1" applyBorder="1" applyAlignment="1">
      <alignment horizontal="center"/>
    </xf>
    <xf numFmtId="3" fontId="3" fillId="34" borderId="0" xfId="0" applyNumberFormat="1" applyFont="1" applyFill="1" applyBorder="1" applyAlignment="1">
      <alignment horizontal="center"/>
    </xf>
    <xf numFmtId="3" fontId="0" fillId="33" borderId="10" xfId="0" applyNumberFormat="1" applyFill="1" applyBorder="1" applyAlignment="1">
      <alignment horizontal="center"/>
    </xf>
    <xf numFmtId="3" fontId="0" fillId="33" borderId="10" xfId="0" applyNumberFormat="1" applyFont="1" applyFill="1" applyBorder="1" applyAlignment="1">
      <alignment horizontal="center"/>
    </xf>
    <xf numFmtId="3" fontId="0" fillId="33" borderId="0" xfId="0" applyNumberFormat="1" applyFont="1" applyFill="1" applyBorder="1" applyAlignment="1">
      <alignment horizontal="center"/>
    </xf>
    <xf numFmtId="0" fontId="0" fillId="34" borderId="10" xfId="0" applyFill="1" applyBorder="1" applyAlignment="1">
      <alignment horizontal="center"/>
    </xf>
    <xf numFmtId="3" fontId="0" fillId="34" borderId="10" xfId="0" applyNumberFormat="1" applyFill="1" applyBorder="1" applyAlignment="1">
      <alignment horizontal="center"/>
    </xf>
    <xf numFmtId="3" fontId="3" fillId="34" borderId="10" xfId="0" applyNumberFormat="1" applyFont="1" applyFill="1" applyBorder="1" applyAlignment="1">
      <alignment horizontal="center"/>
    </xf>
    <xf numFmtId="0" fontId="0" fillId="34" borderId="13" xfId="0" applyFill="1" applyBorder="1" applyAlignment="1">
      <alignment wrapText="1"/>
    </xf>
    <xf numFmtId="0" fontId="0" fillId="34" borderId="14" xfId="0" applyFill="1" applyBorder="1" applyAlignment="1">
      <alignment wrapText="1"/>
    </xf>
    <xf numFmtId="0" fontId="0" fillId="34" borderId="15" xfId="0" applyFill="1" applyBorder="1" applyAlignment="1">
      <alignment wrapText="1"/>
    </xf>
    <xf numFmtId="10" fontId="0" fillId="33" borderId="0" xfId="0" applyNumberFormat="1" applyFill="1" applyAlignment="1">
      <alignment/>
    </xf>
    <xf numFmtId="0" fontId="3" fillId="33" borderId="12" xfId="0" applyFont="1" applyFill="1" applyBorder="1" applyAlignment="1">
      <alignment/>
    </xf>
    <xf numFmtId="0" fontId="7" fillId="33" borderId="0" xfId="0" applyFont="1" applyFill="1" applyAlignment="1">
      <alignment wrapText="1"/>
    </xf>
    <xf numFmtId="3" fontId="7" fillId="33" borderId="0" xfId="0" applyNumberFormat="1" applyFont="1" applyFill="1" applyBorder="1" applyAlignment="1">
      <alignment horizontal="center"/>
    </xf>
    <xf numFmtId="3" fontId="7" fillId="33" borderId="10" xfId="0" applyNumberFormat="1" applyFont="1" applyFill="1" applyBorder="1" applyAlignment="1">
      <alignment horizontal="center"/>
    </xf>
    <xf numFmtId="3" fontId="7" fillId="33" borderId="11" xfId="0" applyNumberFormat="1" applyFont="1" applyFill="1" applyBorder="1" applyAlignment="1">
      <alignment/>
    </xf>
    <xf numFmtId="0" fontId="0" fillId="33" borderId="16" xfId="0" applyFill="1" applyBorder="1" applyAlignment="1">
      <alignment/>
    </xf>
    <xf numFmtId="0" fontId="0" fillId="33" borderId="15" xfId="0" applyFill="1" applyBorder="1" applyAlignment="1">
      <alignment/>
    </xf>
    <xf numFmtId="3" fontId="7" fillId="33" borderId="12" xfId="0" applyNumberFormat="1" applyFont="1" applyFill="1" applyBorder="1" applyAlignment="1">
      <alignment/>
    </xf>
    <xf numFmtId="3" fontId="0" fillId="33" borderId="0" xfId="0" applyNumberFormat="1" applyFill="1" applyBorder="1" applyAlignment="1">
      <alignment/>
    </xf>
    <xf numFmtId="0" fontId="0" fillId="33" borderId="13" xfId="0" applyFill="1" applyBorder="1" applyAlignment="1">
      <alignment/>
    </xf>
    <xf numFmtId="3" fontId="7" fillId="33" borderId="17" xfId="0" applyNumberFormat="1" applyFont="1" applyFill="1" applyBorder="1" applyAlignment="1">
      <alignment/>
    </xf>
    <xf numFmtId="0" fontId="0" fillId="33" borderId="14" xfId="0" applyFill="1" applyBorder="1" applyAlignment="1">
      <alignment/>
    </xf>
    <xf numFmtId="3" fontId="3" fillId="33" borderId="0" xfId="0" applyNumberFormat="1" applyFont="1" applyFill="1" applyBorder="1" applyAlignment="1">
      <alignment/>
    </xf>
    <xf numFmtId="3" fontId="0" fillId="33" borderId="0" xfId="0" applyNumberFormat="1" applyFont="1" applyFill="1" applyBorder="1" applyAlignment="1">
      <alignment/>
    </xf>
    <xf numFmtId="0" fontId="0" fillId="33" borderId="13" xfId="0" applyFont="1" applyFill="1" applyBorder="1" applyAlignment="1">
      <alignment/>
    </xf>
    <xf numFmtId="9" fontId="0" fillId="33" borderId="0" xfId="0" applyNumberFormat="1" applyFill="1" applyBorder="1" applyAlignment="1">
      <alignment/>
    </xf>
    <xf numFmtId="3" fontId="0" fillId="33" borderId="13" xfId="0" applyNumberFormat="1" applyFill="1" applyBorder="1" applyAlignment="1">
      <alignment/>
    </xf>
    <xf numFmtId="0" fontId="3" fillId="33" borderId="12" xfId="0" applyFont="1" applyFill="1" applyBorder="1" applyAlignment="1">
      <alignment/>
    </xf>
    <xf numFmtId="0" fontId="0" fillId="0" borderId="0" xfId="0" applyBorder="1" applyAlignment="1">
      <alignment/>
    </xf>
    <xf numFmtId="164" fontId="0" fillId="34" borderId="13" xfId="0" applyNumberFormat="1" applyFill="1" applyBorder="1" applyAlignment="1">
      <alignment/>
    </xf>
    <xf numFmtId="164" fontId="0" fillId="34" borderId="14" xfId="0" applyNumberFormat="1" applyFont="1" applyFill="1" applyBorder="1" applyAlignment="1">
      <alignment vertical="top"/>
    </xf>
    <xf numFmtId="0" fontId="3" fillId="33" borderId="0" xfId="0" applyFont="1" applyFill="1" applyBorder="1" applyAlignment="1">
      <alignment wrapText="1"/>
    </xf>
    <xf numFmtId="3" fontId="0" fillId="33" borderId="12" xfId="0" applyNumberFormat="1" applyFill="1" applyBorder="1" applyAlignment="1">
      <alignment/>
    </xf>
    <xf numFmtId="3" fontId="3" fillId="33" borderId="13" xfId="0" applyNumberFormat="1" applyFont="1" applyFill="1" applyBorder="1" applyAlignment="1">
      <alignment/>
    </xf>
    <xf numFmtId="3" fontId="3" fillId="35" borderId="18" xfId="0" applyNumberFormat="1" applyFont="1" applyFill="1" applyBorder="1" applyAlignment="1">
      <alignment horizontal="center" textRotation="45" wrapText="1"/>
    </xf>
    <xf numFmtId="3" fontId="3" fillId="35" borderId="18" xfId="0" applyNumberFormat="1" applyFont="1" applyFill="1" applyBorder="1" applyAlignment="1">
      <alignment horizontal="center" textRotation="45"/>
    </xf>
    <xf numFmtId="3" fontId="3" fillId="33" borderId="18" xfId="0" applyNumberFormat="1" applyFont="1" applyFill="1" applyBorder="1" applyAlignment="1">
      <alignment horizontal="center" textRotation="45"/>
    </xf>
    <xf numFmtId="0" fontId="3" fillId="33" borderId="0" xfId="0" applyFont="1" applyFill="1" applyBorder="1" applyAlignment="1">
      <alignment horizontal="center"/>
    </xf>
    <xf numFmtId="0" fontId="3" fillId="33" borderId="0" xfId="0" applyFont="1" applyFill="1" applyAlignment="1">
      <alignment horizontal="center"/>
    </xf>
    <xf numFmtId="3" fontId="7" fillId="33" borderId="16" xfId="0" applyNumberFormat="1" applyFont="1" applyFill="1" applyBorder="1" applyAlignment="1">
      <alignment/>
    </xf>
    <xf numFmtId="3" fontId="7" fillId="33" borderId="0" xfId="0" applyNumberFormat="1" applyFont="1" applyFill="1" applyBorder="1" applyAlignment="1">
      <alignment/>
    </xf>
    <xf numFmtId="3" fontId="7" fillId="33" borderId="10" xfId="0" applyNumberFormat="1" applyFont="1" applyFill="1" applyBorder="1" applyAlignment="1">
      <alignment/>
    </xf>
    <xf numFmtId="0" fontId="0" fillId="33" borderId="0" xfId="0" applyFill="1" applyAlignment="1">
      <alignment horizontal="center"/>
    </xf>
    <xf numFmtId="4" fontId="0" fillId="33" borderId="0" xfId="0" applyNumberFormat="1" applyFill="1" applyBorder="1" applyAlignment="1">
      <alignment horizontal="center"/>
    </xf>
    <xf numFmtId="3" fontId="3" fillId="33" borderId="0" xfId="0" applyNumberFormat="1" applyFont="1" applyFill="1" applyBorder="1" applyAlignment="1">
      <alignment horizontal="center" textRotation="45"/>
    </xf>
    <xf numFmtId="3" fontId="3" fillId="35" borderId="0" xfId="0" applyNumberFormat="1" applyFont="1" applyFill="1" applyBorder="1" applyAlignment="1">
      <alignment horizontal="center" textRotation="45"/>
    </xf>
    <xf numFmtId="3" fontId="3" fillId="33" borderId="0" xfId="0" applyNumberFormat="1" applyFont="1" applyFill="1" applyBorder="1" applyAlignment="1">
      <alignment horizontal="center" textRotation="45" wrapText="1"/>
    </xf>
    <xf numFmtId="0" fontId="3" fillId="33" borderId="0" xfId="0" applyFont="1" applyFill="1" applyBorder="1" applyAlignment="1">
      <alignment horizontal="center" textRotation="45"/>
    </xf>
    <xf numFmtId="9" fontId="7" fillId="33" borderId="0" xfId="0" applyNumberFormat="1" applyFont="1" applyFill="1" applyBorder="1" applyAlignment="1">
      <alignment horizontal="center"/>
    </xf>
    <xf numFmtId="9" fontId="7" fillId="33" borderId="10" xfId="0" applyNumberFormat="1" applyFont="1" applyFill="1" applyBorder="1" applyAlignment="1">
      <alignment horizontal="center"/>
    </xf>
    <xf numFmtId="3" fontId="3" fillId="33" borderId="18" xfId="0" applyNumberFormat="1" applyFont="1" applyFill="1" applyBorder="1" applyAlignment="1">
      <alignment horizontal="center" vertical="center" textRotation="45" wrapText="1"/>
    </xf>
    <xf numFmtId="4" fontId="0" fillId="33" borderId="10" xfId="0" applyNumberFormat="1" applyFill="1" applyBorder="1" applyAlignment="1">
      <alignment horizontal="center"/>
    </xf>
    <xf numFmtId="3" fontId="47" fillId="33" borderId="0" xfId="0" applyNumberFormat="1" applyFont="1" applyFill="1" applyBorder="1" applyAlignment="1">
      <alignment horizontal="center"/>
    </xf>
    <xf numFmtId="0" fontId="3" fillId="36" borderId="0" xfId="0" applyFont="1" applyFill="1" applyBorder="1" applyAlignment="1">
      <alignment vertical="top" wrapText="1"/>
    </xf>
    <xf numFmtId="0" fontId="3" fillId="36" borderId="0" xfId="0" applyFont="1" applyFill="1" applyBorder="1" applyAlignment="1">
      <alignment/>
    </xf>
    <xf numFmtId="3" fontId="0" fillId="36" borderId="0" xfId="0" applyNumberFormat="1" applyFill="1" applyBorder="1" applyAlignment="1">
      <alignment/>
    </xf>
    <xf numFmtId="0" fontId="0" fillId="36" borderId="0" xfId="0" applyFill="1" applyBorder="1" applyAlignment="1">
      <alignment/>
    </xf>
    <xf numFmtId="42" fontId="0" fillId="36" borderId="0" xfId="0" applyNumberFormat="1" applyFill="1" applyBorder="1" applyAlignment="1">
      <alignment/>
    </xf>
    <xf numFmtId="0" fontId="5" fillId="36" borderId="0" xfId="0" applyFont="1" applyFill="1" applyBorder="1" applyAlignment="1">
      <alignment/>
    </xf>
    <xf numFmtId="42" fontId="5" fillId="36" borderId="0" xfId="0" applyNumberFormat="1" applyFont="1" applyFill="1" applyBorder="1" applyAlignment="1">
      <alignment/>
    </xf>
    <xf numFmtId="0" fontId="0" fillId="36" borderId="0" xfId="0" applyFont="1" applyFill="1" applyBorder="1" applyAlignment="1">
      <alignment/>
    </xf>
    <xf numFmtId="3" fontId="0" fillId="37" borderId="19" xfId="0" applyNumberFormat="1" applyFill="1" applyBorder="1" applyAlignment="1">
      <alignment/>
    </xf>
    <xf numFmtId="10" fontId="0" fillId="37" borderId="19" xfId="0" applyNumberFormat="1" applyFill="1" applyBorder="1" applyAlignment="1">
      <alignment/>
    </xf>
    <xf numFmtId="0" fontId="9" fillId="33" borderId="0" xfId="0" applyFont="1" applyFill="1" applyAlignment="1">
      <alignment/>
    </xf>
    <xf numFmtId="0" fontId="0" fillId="36" borderId="11" xfId="0" applyFill="1" applyBorder="1" applyAlignment="1">
      <alignment/>
    </xf>
    <xf numFmtId="3" fontId="0" fillId="36" borderId="0" xfId="0" applyNumberFormat="1" applyFill="1" applyBorder="1" applyAlignment="1">
      <alignment horizontal="left"/>
    </xf>
    <xf numFmtId="0" fontId="0" fillId="36" borderId="0" xfId="0" applyFill="1" applyBorder="1" applyAlignment="1">
      <alignment horizontal="left"/>
    </xf>
    <xf numFmtId="0" fontId="3" fillId="36" borderId="16" xfId="0" applyFont="1" applyFill="1" applyBorder="1" applyAlignment="1">
      <alignment/>
    </xf>
    <xf numFmtId="0" fontId="3" fillId="36" borderId="12" xfId="0" applyFont="1" applyFill="1" applyBorder="1" applyAlignment="1">
      <alignment/>
    </xf>
    <xf numFmtId="0" fontId="3" fillId="36" borderId="17" xfId="0" applyFont="1" applyFill="1" applyBorder="1" applyAlignment="1">
      <alignment/>
    </xf>
    <xf numFmtId="3" fontId="0" fillId="13" borderId="19" xfId="0" applyNumberFormat="1" applyFill="1" applyBorder="1" applyAlignment="1">
      <alignment/>
    </xf>
    <xf numFmtId="3" fontId="0" fillId="13" borderId="13" xfId="0" applyNumberFormat="1" applyFill="1" applyBorder="1" applyAlignment="1">
      <alignment horizontal="left"/>
    </xf>
    <xf numFmtId="0" fontId="0" fillId="36" borderId="10" xfId="0" applyFill="1" applyBorder="1" applyAlignment="1">
      <alignment horizontal="left"/>
    </xf>
    <xf numFmtId="3" fontId="0" fillId="36" borderId="10" xfId="0" applyNumberFormat="1" applyFill="1" applyBorder="1" applyAlignment="1">
      <alignment horizontal="left"/>
    </xf>
    <xf numFmtId="3" fontId="0" fillId="13" borderId="14" xfId="0" applyNumberFormat="1" applyFill="1" applyBorder="1" applyAlignment="1">
      <alignment horizontal="left"/>
    </xf>
    <xf numFmtId="3" fontId="0" fillId="10" borderId="19" xfId="0" applyNumberFormat="1" applyFill="1" applyBorder="1" applyAlignment="1">
      <alignment/>
    </xf>
    <xf numFmtId="3" fontId="0" fillId="10" borderId="0" xfId="0" applyNumberFormat="1" applyFill="1" applyBorder="1" applyAlignment="1">
      <alignment horizontal="left"/>
    </xf>
    <xf numFmtId="3" fontId="0" fillId="10" borderId="10" xfId="0" applyNumberFormat="1" applyFill="1" applyBorder="1" applyAlignment="1">
      <alignment horizontal="left"/>
    </xf>
    <xf numFmtId="0" fontId="3" fillId="36" borderId="16" xfId="0" applyFont="1" applyFill="1" applyBorder="1" applyAlignment="1">
      <alignment vertical="top" wrapText="1"/>
    </xf>
    <xf numFmtId="0" fontId="3" fillId="36" borderId="16" xfId="0" applyFont="1" applyFill="1" applyBorder="1" applyAlignment="1">
      <alignment vertical="top"/>
    </xf>
    <xf numFmtId="0" fontId="3" fillId="36" borderId="15" xfId="0" applyFont="1" applyFill="1" applyBorder="1" applyAlignment="1">
      <alignment vertical="top" wrapText="1"/>
    </xf>
    <xf numFmtId="3" fontId="0" fillId="37" borderId="19" xfId="0" applyNumberFormat="1" applyFill="1" applyBorder="1" applyAlignment="1">
      <alignment horizontal="left"/>
    </xf>
    <xf numFmtId="3" fontId="10" fillId="33" borderId="18" xfId="53" applyNumberFormat="1" applyFont="1" applyFill="1" applyBorder="1" applyAlignment="1" applyProtection="1">
      <alignment horizontal="center" textRotation="45"/>
      <protection/>
    </xf>
    <xf numFmtId="164" fontId="3" fillId="33" borderId="17" xfId="0" applyNumberFormat="1" applyFont="1" applyFill="1" applyBorder="1" applyAlignment="1">
      <alignment vertical="top"/>
    </xf>
    <xf numFmtId="3" fontId="2" fillId="33" borderId="16" xfId="53" applyNumberFormat="1" applyFont="1" applyFill="1" applyBorder="1" applyAlignment="1" applyProtection="1">
      <alignment/>
      <protection/>
    </xf>
    <xf numFmtId="0" fontId="2" fillId="0" borderId="15" xfId="53" applyFont="1" applyBorder="1" applyAlignment="1" applyProtection="1">
      <alignment/>
      <protection/>
    </xf>
    <xf numFmtId="49" fontId="0" fillId="34" borderId="0" xfId="0" applyNumberFormat="1" applyFill="1" applyBorder="1" applyAlignment="1">
      <alignment/>
    </xf>
    <xf numFmtId="49" fontId="0" fillId="34" borderId="0" xfId="0" applyNumberFormat="1" applyFont="1" applyFill="1" applyBorder="1" applyAlignment="1">
      <alignment/>
    </xf>
    <xf numFmtId="3" fontId="0" fillId="13" borderId="0" xfId="0" applyNumberFormat="1" applyFill="1" applyBorder="1" applyAlignment="1">
      <alignment horizontal="left"/>
    </xf>
    <xf numFmtId="3" fontId="0" fillId="13" borderId="10" xfId="0" applyNumberFormat="1" applyFill="1" applyBorder="1" applyAlignment="1">
      <alignment horizontal="left"/>
    </xf>
    <xf numFmtId="0" fontId="0" fillId="34" borderId="12" xfId="0" applyFont="1" applyFill="1" applyBorder="1" applyAlignment="1">
      <alignment/>
    </xf>
    <xf numFmtId="0" fontId="0" fillId="34" borderId="0" xfId="0" applyFont="1" applyFill="1" applyAlignment="1">
      <alignment/>
    </xf>
    <xf numFmtId="0" fontId="0" fillId="37" borderId="20" xfId="0" applyFont="1" applyFill="1" applyBorder="1" applyAlignment="1">
      <alignment/>
    </xf>
    <xf numFmtId="3" fontId="3" fillId="33" borderId="0" xfId="0" applyNumberFormat="1" applyFont="1" applyFill="1" applyBorder="1" applyAlignment="1">
      <alignment/>
    </xf>
    <xf numFmtId="0" fontId="0" fillId="36" borderId="18" xfId="0" applyFont="1" applyFill="1" applyBorder="1" applyAlignment="1">
      <alignment/>
    </xf>
    <xf numFmtId="0" fontId="0" fillId="36" borderId="18" xfId="0" applyFill="1" applyBorder="1" applyAlignment="1">
      <alignment/>
    </xf>
    <xf numFmtId="0" fontId="0" fillId="34" borderId="18" xfId="0" applyFill="1" applyBorder="1" applyAlignment="1">
      <alignment horizontal="center"/>
    </xf>
    <xf numFmtId="3" fontId="0" fillId="34" borderId="18" xfId="0" applyNumberFormat="1" applyFill="1" applyBorder="1" applyAlignment="1">
      <alignment horizontal="center"/>
    </xf>
    <xf numFmtId="3" fontId="0" fillId="37" borderId="18" xfId="0" applyNumberFormat="1" applyFill="1" applyBorder="1" applyAlignment="1">
      <alignment horizontal="center"/>
    </xf>
    <xf numFmtId="3" fontId="3" fillId="37" borderId="18" xfId="0" applyNumberFormat="1" applyFont="1" applyFill="1" applyBorder="1" applyAlignment="1">
      <alignment horizontal="center"/>
    </xf>
    <xf numFmtId="3" fontId="0" fillId="33" borderId="18" xfId="0" applyNumberFormat="1" applyFill="1" applyBorder="1" applyAlignment="1">
      <alignment horizontal="center"/>
    </xf>
    <xf numFmtId="3" fontId="0" fillId="33" borderId="18" xfId="0" applyNumberFormat="1" applyFill="1" applyBorder="1" applyAlignment="1">
      <alignment/>
    </xf>
    <xf numFmtId="4" fontId="0" fillId="33" borderId="18" xfId="0" applyNumberFormat="1" applyFill="1" applyBorder="1" applyAlignment="1">
      <alignment horizontal="center"/>
    </xf>
    <xf numFmtId="9" fontId="7" fillId="33" borderId="18" xfId="0" applyNumberFormat="1" applyFont="1" applyFill="1" applyBorder="1" applyAlignment="1">
      <alignment horizontal="center"/>
    </xf>
    <xf numFmtId="3" fontId="0" fillId="33" borderId="18" xfId="0" applyNumberFormat="1" applyFont="1" applyFill="1" applyBorder="1" applyAlignment="1">
      <alignment horizontal="center"/>
    </xf>
    <xf numFmtId="0" fontId="0" fillId="34" borderId="21" xfId="0" applyFill="1" applyBorder="1" applyAlignment="1">
      <alignment wrapText="1"/>
    </xf>
    <xf numFmtId="3" fontId="1" fillId="33" borderId="0" xfId="0" applyNumberFormat="1" applyFont="1" applyFill="1" applyAlignment="1">
      <alignment/>
    </xf>
    <xf numFmtId="0" fontId="0" fillId="36" borderId="10" xfId="0" applyFill="1" applyBorder="1" applyAlignment="1">
      <alignment/>
    </xf>
    <xf numFmtId="0" fontId="0" fillId="36" borderId="0" xfId="0" applyFill="1" applyBorder="1" applyAlignment="1">
      <alignment/>
    </xf>
    <xf numFmtId="164" fontId="0" fillId="38" borderId="0" xfId="0" applyNumberFormat="1" applyFont="1" applyFill="1" applyBorder="1" applyAlignment="1">
      <alignment vertical="top"/>
    </xf>
    <xf numFmtId="0" fontId="2" fillId="0" borderId="0" xfId="53" applyAlignment="1" applyProtection="1">
      <alignment/>
      <protection/>
    </xf>
    <xf numFmtId="0" fontId="0" fillId="37" borderId="0" xfId="0" applyFont="1" applyFill="1" applyBorder="1" applyAlignment="1">
      <alignment/>
    </xf>
    <xf numFmtId="0" fontId="0" fillId="37" borderId="10" xfId="0" applyFont="1" applyFill="1" applyBorder="1" applyAlignment="1">
      <alignment/>
    </xf>
    <xf numFmtId="0" fontId="0" fillId="37" borderId="12" xfId="0" applyFill="1" applyBorder="1" applyAlignment="1">
      <alignment/>
    </xf>
    <xf numFmtId="0" fontId="0" fillId="37" borderId="17" xfId="0" applyFill="1" applyBorder="1" applyAlignment="1">
      <alignment/>
    </xf>
    <xf numFmtId="0" fontId="3" fillId="0" borderId="0" xfId="0" applyFont="1" applyAlignment="1">
      <alignment/>
    </xf>
    <xf numFmtId="3" fontId="0" fillId="34" borderId="0" xfId="0" applyNumberFormat="1" applyFont="1" applyFill="1" applyBorder="1" applyAlignment="1">
      <alignment horizontal="center"/>
    </xf>
    <xf numFmtId="3" fontId="0" fillId="34" borderId="0" xfId="0" applyNumberFormat="1" applyFont="1" applyFill="1" applyBorder="1" applyAlignment="1">
      <alignment horizontal="left"/>
    </xf>
    <xf numFmtId="0" fontId="0" fillId="0" borderId="0" xfId="0" applyFont="1" applyAlignment="1">
      <alignment/>
    </xf>
    <xf numFmtId="0" fontId="0" fillId="37" borderId="12" xfId="0" applyFont="1" applyFill="1" applyBorder="1" applyAlignment="1">
      <alignment/>
    </xf>
    <xf numFmtId="0" fontId="0" fillId="34" borderId="0" xfId="0" applyFont="1" applyFill="1" applyBorder="1" applyAlignment="1">
      <alignment horizontal="center"/>
    </xf>
    <xf numFmtId="0" fontId="2" fillId="34" borderId="0" xfId="53" applyFill="1" applyBorder="1" applyAlignment="1" applyProtection="1">
      <alignment horizontal="center"/>
      <protection/>
    </xf>
    <xf numFmtId="0" fontId="0" fillId="37" borderId="17" xfId="0" applyFont="1" applyFill="1" applyBorder="1" applyAlignment="1">
      <alignment/>
    </xf>
    <xf numFmtId="3" fontId="0" fillId="34" borderId="10" xfId="0" applyNumberFormat="1" applyFont="1" applyFill="1" applyBorder="1" applyAlignment="1">
      <alignment horizontal="left"/>
    </xf>
    <xf numFmtId="0" fontId="2" fillId="34" borderId="10" xfId="53" applyFill="1" applyBorder="1" applyAlignment="1" applyProtection="1">
      <alignment horizontal="center"/>
      <protection/>
    </xf>
    <xf numFmtId="0" fontId="6" fillId="0" borderId="0" xfId="0" applyFont="1" applyAlignment="1">
      <alignment/>
    </xf>
    <xf numFmtId="0" fontId="0" fillId="38" borderId="12" xfId="0" applyFill="1" applyBorder="1" applyAlignment="1">
      <alignment/>
    </xf>
    <xf numFmtId="3" fontId="0" fillId="38" borderId="0" xfId="0" applyNumberFormat="1" applyFont="1" applyFill="1" applyBorder="1" applyAlignment="1">
      <alignment horizontal="left"/>
    </xf>
    <xf numFmtId="0" fontId="0" fillId="38" borderId="0" xfId="0" applyFont="1" applyFill="1" applyBorder="1" applyAlignment="1">
      <alignment horizontal="center"/>
    </xf>
    <xf numFmtId="3" fontId="0" fillId="38" borderId="0" xfId="0" applyNumberFormat="1" applyFill="1" applyBorder="1" applyAlignment="1">
      <alignment horizontal="center"/>
    </xf>
    <xf numFmtId="0" fontId="0" fillId="38" borderId="17" xfId="0" applyFill="1" applyBorder="1" applyAlignment="1">
      <alignment/>
    </xf>
    <xf numFmtId="3" fontId="0" fillId="38" borderId="10" xfId="0" applyNumberFormat="1" applyFill="1" applyBorder="1" applyAlignment="1">
      <alignment horizontal="center"/>
    </xf>
    <xf numFmtId="0" fontId="0" fillId="38" borderId="11" xfId="0" applyFill="1" applyBorder="1" applyAlignment="1">
      <alignment/>
    </xf>
    <xf numFmtId="3" fontId="0" fillId="38" borderId="16" xfId="0" applyNumberFormat="1" applyFont="1" applyFill="1" applyBorder="1" applyAlignment="1">
      <alignment horizontal="left"/>
    </xf>
    <xf numFmtId="0" fontId="0" fillId="38" borderId="16" xfId="0" applyFont="1" applyFill="1" applyBorder="1" applyAlignment="1">
      <alignment horizontal="center"/>
    </xf>
    <xf numFmtId="3" fontId="0" fillId="38" borderId="16" xfId="0" applyNumberFormat="1" applyFill="1" applyBorder="1" applyAlignment="1">
      <alignment horizontal="center"/>
    </xf>
    <xf numFmtId="3" fontId="0" fillId="38" borderId="15" xfId="0" applyNumberFormat="1" applyFill="1" applyBorder="1" applyAlignment="1">
      <alignment horizontal="center"/>
    </xf>
    <xf numFmtId="3" fontId="0" fillId="38" borderId="13" xfId="0" applyNumberFormat="1" applyFill="1" applyBorder="1" applyAlignment="1">
      <alignment horizontal="center"/>
    </xf>
    <xf numFmtId="3" fontId="0" fillId="38" borderId="14" xfId="0" applyNumberFormat="1" applyFill="1" applyBorder="1" applyAlignment="1">
      <alignment horizontal="center"/>
    </xf>
    <xf numFmtId="3" fontId="0" fillId="38" borderId="10" xfId="0" applyNumberFormat="1" applyFont="1" applyFill="1" applyBorder="1" applyAlignment="1">
      <alignment horizontal="left"/>
    </xf>
    <xf numFmtId="0" fontId="0" fillId="38" borderId="10" xfId="0" applyFont="1" applyFill="1" applyBorder="1" applyAlignment="1">
      <alignment horizontal="center"/>
    </xf>
    <xf numFmtId="0" fontId="11" fillId="0" borderId="0" xfId="0" applyFont="1" applyAlignment="1">
      <alignment/>
    </xf>
    <xf numFmtId="0" fontId="1" fillId="0" borderId="0" xfId="0" applyFont="1" applyAlignment="1">
      <alignment/>
    </xf>
    <xf numFmtId="0" fontId="0" fillId="33" borderId="0" xfId="0" applyFont="1" applyFill="1" applyAlignment="1">
      <alignment wrapText="1"/>
    </xf>
    <xf numFmtId="0" fontId="0" fillId="33" borderId="0" xfId="57" applyFill="1">
      <alignment/>
      <protection/>
    </xf>
    <xf numFmtId="0" fontId="1" fillId="36" borderId="0" xfId="57" applyFont="1" applyFill="1">
      <alignment/>
      <protection/>
    </xf>
    <xf numFmtId="0" fontId="3" fillId="33" borderId="0" xfId="57" applyFont="1" applyFill="1">
      <alignment/>
      <protection/>
    </xf>
    <xf numFmtId="0" fontId="8" fillId="33" borderId="0" xfId="57" applyFont="1" applyFill="1">
      <alignment/>
      <protection/>
    </xf>
    <xf numFmtId="0" fontId="0" fillId="33" borderId="0" xfId="57" applyFont="1" applyFill="1" applyAlignment="1">
      <alignment vertical="top" wrapText="1"/>
      <protection/>
    </xf>
    <xf numFmtId="0" fontId="3" fillId="33" borderId="0" xfId="57" applyFont="1" applyFill="1" applyAlignment="1">
      <alignment vertical="top"/>
      <protection/>
    </xf>
    <xf numFmtId="0" fontId="0" fillId="33" borderId="0" xfId="57" applyFill="1" applyAlignment="1">
      <alignment vertical="top" wrapText="1"/>
      <protection/>
    </xf>
    <xf numFmtId="0" fontId="0" fillId="33" borderId="0" xfId="57" applyFill="1" applyAlignment="1">
      <alignment vertical="top"/>
      <protection/>
    </xf>
    <xf numFmtId="0" fontId="6" fillId="33" borderId="0" xfId="57" applyFont="1" applyFill="1">
      <alignment/>
      <protection/>
    </xf>
    <xf numFmtId="0" fontId="0" fillId="33" borderId="19" xfId="57" applyFill="1" applyBorder="1">
      <alignment/>
      <protection/>
    </xf>
    <xf numFmtId="0" fontId="0" fillId="34" borderId="19" xfId="57" applyFill="1" applyBorder="1">
      <alignment/>
      <protection/>
    </xf>
    <xf numFmtId="9" fontId="0" fillId="37" borderId="0" xfId="0" applyNumberFormat="1" applyFill="1" applyBorder="1" applyAlignment="1">
      <alignment/>
    </xf>
    <xf numFmtId="9" fontId="0" fillId="37" borderId="13" xfId="0" applyNumberFormat="1" applyFill="1" applyBorder="1" applyAlignment="1">
      <alignment/>
    </xf>
    <xf numFmtId="10" fontId="0" fillId="37" borderId="0" xfId="0" applyNumberFormat="1" applyFill="1" applyBorder="1" applyAlignment="1">
      <alignment/>
    </xf>
    <xf numFmtId="10" fontId="0" fillId="37" borderId="13" xfId="0" applyNumberFormat="1" applyFill="1" applyBorder="1" applyAlignment="1">
      <alignment/>
    </xf>
    <xf numFmtId="0" fontId="1" fillId="33" borderId="0" xfId="0"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kopabostadguiden.se/" TargetMode="External" /><Relationship Id="rId3" Type="http://schemas.openxmlformats.org/officeDocument/2006/relationships/hyperlink" Target="http://www.kopabostadguiden.se/"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kopabostadguiden.se/" TargetMode="External" /><Relationship Id="rId3" Type="http://schemas.openxmlformats.org/officeDocument/2006/relationships/hyperlink" Target="http://www.kopabostadguiden.se/"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kopabostadguiden.se/" TargetMode="External" /><Relationship Id="rId3" Type="http://schemas.openxmlformats.org/officeDocument/2006/relationships/hyperlink" Target="http://www.kopabostadguiden.se/"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kopabostadguiden.se/" TargetMode="External" /><Relationship Id="rId3" Type="http://schemas.openxmlformats.org/officeDocument/2006/relationships/hyperlink" Target="http://www.kopabostadguiden.se/"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0</xdr:row>
      <xdr:rowOff>28575</xdr:rowOff>
    </xdr:from>
    <xdr:to>
      <xdr:col>3</xdr:col>
      <xdr:colOff>219075</xdr:colOff>
      <xdr:row>4</xdr:row>
      <xdr:rowOff>152400</xdr:rowOff>
    </xdr:to>
    <xdr:pic>
      <xdr:nvPicPr>
        <xdr:cNvPr id="1" name="Picture 1">
          <a:hlinkClick r:id="rId3"/>
        </xdr:cNvPr>
        <xdr:cNvPicPr preferRelativeResize="1">
          <a:picLocks noChangeAspect="1"/>
        </xdr:cNvPicPr>
      </xdr:nvPicPr>
      <xdr:blipFill>
        <a:blip r:embed="rId1"/>
        <a:stretch>
          <a:fillRect/>
        </a:stretch>
      </xdr:blipFill>
      <xdr:spPr>
        <a:xfrm>
          <a:off x="552450" y="28575"/>
          <a:ext cx="1390650"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0</xdr:row>
      <xdr:rowOff>85725</xdr:rowOff>
    </xdr:from>
    <xdr:to>
      <xdr:col>2</xdr:col>
      <xdr:colOff>1447800</xdr:colOff>
      <xdr:row>4</xdr:row>
      <xdr:rowOff>57150</xdr:rowOff>
    </xdr:to>
    <xdr:pic>
      <xdr:nvPicPr>
        <xdr:cNvPr id="1" name="Picture 1">
          <a:hlinkClick r:id="rId3"/>
        </xdr:cNvPr>
        <xdr:cNvPicPr preferRelativeResize="1">
          <a:picLocks noChangeAspect="1"/>
        </xdr:cNvPicPr>
      </xdr:nvPicPr>
      <xdr:blipFill>
        <a:blip r:embed="rId1"/>
        <a:stretch>
          <a:fillRect/>
        </a:stretch>
      </xdr:blipFill>
      <xdr:spPr>
        <a:xfrm>
          <a:off x="647700" y="85725"/>
          <a:ext cx="1409700"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485775</xdr:colOff>
      <xdr:row>0</xdr:row>
      <xdr:rowOff>85725</xdr:rowOff>
    </xdr:from>
    <xdr:to>
      <xdr:col>2</xdr:col>
      <xdr:colOff>1390650</xdr:colOff>
      <xdr:row>5</xdr:row>
      <xdr:rowOff>28575</xdr:rowOff>
    </xdr:to>
    <xdr:pic>
      <xdr:nvPicPr>
        <xdr:cNvPr id="1" name="Picture 1">
          <a:hlinkClick r:id="rId3"/>
        </xdr:cNvPr>
        <xdr:cNvPicPr preferRelativeResize="1">
          <a:picLocks noChangeAspect="1"/>
        </xdr:cNvPicPr>
      </xdr:nvPicPr>
      <xdr:blipFill>
        <a:blip r:embed="rId1"/>
        <a:stretch>
          <a:fillRect/>
        </a:stretch>
      </xdr:blipFill>
      <xdr:spPr>
        <a:xfrm>
          <a:off x="742950" y="85725"/>
          <a:ext cx="1400175"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104775</xdr:rowOff>
    </xdr:from>
    <xdr:to>
      <xdr:col>2</xdr:col>
      <xdr:colOff>1095375</xdr:colOff>
      <xdr:row>5</xdr:row>
      <xdr:rowOff>66675</xdr:rowOff>
    </xdr:to>
    <xdr:pic>
      <xdr:nvPicPr>
        <xdr:cNvPr id="1" name="Picture 1">
          <a:hlinkClick r:id="rId3"/>
        </xdr:cNvPr>
        <xdr:cNvPicPr preferRelativeResize="1">
          <a:picLocks noChangeAspect="1"/>
        </xdr:cNvPicPr>
      </xdr:nvPicPr>
      <xdr:blipFill>
        <a:blip r:embed="rId1"/>
        <a:stretch>
          <a:fillRect/>
        </a:stretch>
      </xdr:blipFill>
      <xdr:spPr>
        <a:xfrm>
          <a:off x="295275" y="104775"/>
          <a:ext cx="1381125" cy="800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oupplysningen.se/" TargetMode="External" /><Relationship Id="rId2" Type="http://schemas.openxmlformats.org/officeDocument/2006/relationships/hyperlink" Target="http://www.hemnet.se/" TargetMode="External" /><Relationship Id="rId3" Type="http://schemas.openxmlformats.org/officeDocument/2006/relationships/hyperlink" Target="http://www.bovision.se/" TargetMode="External" /><Relationship Id="rId4"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kopabostadguiden.se/kopa-bostad-guiden/checklista-vid-visningen/" TargetMode="External" /><Relationship Id="rId2" Type="http://schemas.openxmlformats.org/officeDocument/2006/relationships/hyperlink" Target="http://www.boupplysningen.se/"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2:AL49"/>
  <sheetViews>
    <sheetView tabSelected="1" workbookViewId="0" topLeftCell="A11">
      <selection activeCell="C20" sqref="C20"/>
    </sheetView>
  </sheetViews>
  <sheetFormatPr defaultColWidth="9.140625" defaultRowHeight="12.75"/>
  <cols>
    <col min="1" max="1" width="0.9921875" style="1" customWidth="1"/>
    <col min="2" max="2" width="6.421875" style="1" customWidth="1"/>
    <col min="3" max="3" width="18.421875" style="1" customWidth="1"/>
    <col min="4" max="4" width="19.140625" style="1" bestFit="1" customWidth="1"/>
    <col min="5" max="6" width="9.421875" style="1" customWidth="1"/>
    <col min="7" max="7" width="6.140625" style="1" customWidth="1"/>
    <col min="8" max="8" width="9.00390625" style="6" customWidth="1"/>
    <col min="9" max="9" width="11.421875" style="6" bestFit="1" customWidth="1"/>
    <col min="10" max="10" width="15.421875" style="6" customWidth="1"/>
    <col min="11" max="11" width="10.8515625" style="6" customWidth="1"/>
    <col min="12" max="12" width="9.8515625" style="1" customWidth="1"/>
    <col min="13" max="13" width="8.421875" style="1" customWidth="1"/>
    <col min="14" max="14" width="11.140625" style="1" customWidth="1"/>
    <col min="15" max="15" width="12.421875" style="6" customWidth="1"/>
    <col min="16" max="16" width="9.421875" style="6" hidden="1" customWidth="1"/>
    <col min="17" max="18" width="9.8515625" style="6" hidden="1" customWidth="1"/>
    <col min="19" max="19" width="7.7109375" style="6" hidden="1" customWidth="1"/>
    <col min="20" max="20" width="10.00390625" style="6" hidden="1" customWidth="1"/>
    <col min="21" max="21" width="10.00390625" style="6" customWidth="1"/>
    <col min="22" max="22" width="7.421875" style="6" bestFit="1" customWidth="1"/>
    <col min="23" max="23" width="10.00390625" style="6" customWidth="1"/>
    <col min="24" max="24" width="11.7109375" style="6" hidden="1" customWidth="1"/>
    <col min="25" max="25" width="7.421875" style="6" hidden="1" customWidth="1"/>
    <col min="26" max="26" width="10.00390625" style="6" customWidth="1"/>
    <col min="27" max="28" width="17.7109375" style="6" hidden="1" customWidth="1"/>
    <col min="29" max="30" width="10.7109375" style="6" customWidth="1"/>
    <col min="31" max="31" width="7.8515625" style="6" customWidth="1"/>
    <col min="32" max="32" width="9.421875" style="6" customWidth="1"/>
    <col min="33" max="33" width="9.140625" style="6" customWidth="1"/>
    <col min="34" max="34" width="9.421875" style="1" customWidth="1"/>
    <col min="35" max="35" width="32.7109375" style="1" customWidth="1"/>
    <col min="36" max="16384" width="9.140625" style="1" customWidth="1"/>
  </cols>
  <sheetData>
    <row r="1" ht="12.75"/>
    <row r="2" spans="5:30" ht="12.75">
      <c r="E2" s="20" t="s">
        <v>200</v>
      </c>
      <c r="L2" s="18"/>
      <c r="M2" s="111"/>
      <c r="N2" s="112"/>
      <c r="AC2" s="7" t="s">
        <v>64</v>
      </c>
      <c r="AD2" s="7"/>
    </row>
    <row r="3" spans="5:28" ht="15" customHeight="1">
      <c r="E3" s="2" t="s">
        <v>203</v>
      </c>
      <c r="F3" s="2"/>
      <c r="L3" s="59"/>
      <c r="M3" s="58" t="s">
        <v>3</v>
      </c>
      <c r="N3" s="60" t="s">
        <v>4</v>
      </c>
      <c r="Q3" s="7" t="s">
        <v>6</v>
      </c>
      <c r="R3" s="7"/>
      <c r="S3" s="6" t="s">
        <v>78</v>
      </c>
      <c r="Y3" s="38"/>
      <c r="Z3" s="38"/>
      <c r="AA3" s="38"/>
      <c r="AB3" s="38"/>
    </row>
    <row r="4" spans="12:35" ht="12.75">
      <c r="L4" s="37" t="s">
        <v>7</v>
      </c>
      <c r="M4" s="184">
        <v>0.03</v>
      </c>
      <c r="N4" s="185">
        <v>0.015</v>
      </c>
      <c r="AC4" s="41">
        <f>IF(W32&gt;0,"Du måste ta ett högrisklån för ett prospekt","")</f>
      </c>
      <c r="AD4" s="66"/>
      <c r="AE4" s="42"/>
      <c r="AF4" s="42"/>
      <c r="AG4" s="42"/>
      <c r="AH4" s="43"/>
      <c r="AI4" s="10"/>
    </row>
    <row r="5" spans="12:35" ht="12.75">
      <c r="L5" s="37" t="s">
        <v>8</v>
      </c>
      <c r="M5" s="182">
        <v>0</v>
      </c>
      <c r="N5" s="183">
        <v>0.9</v>
      </c>
      <c r="Q5" s="9">
        <f>1-N5-M5</f>
        <v>0.09999999999999998</v>
      </c>
      <c r="R5" s="9"/>
      <c r="S5" s="36">
        <v>0.0699</v>
      </c>
      <c r="U5" s="9"/>
      <c r="AC5" s="44">
        <f>IF(W32&gt;0,"dvs du har egentligen inte råd med det!","")</f>
      </c>
      <c r="AD5" s="67"/>
      <c r="AE5" s="45"/>
      <c r="AF5" s="45"/>
      <c r="AG5" s="45"/>
      <c r="AH5" s="46"/>
      <c r="AI5" s="10"/>
    </row>
    <row r="6" spans="8:38" s="3" customFormat="1" ht="12">
      <c r="H6" s="7"/>
      <c r="L6" s="19"/>
      <c r="M6" s="52"/>
      <c r="N6" s="53"/>
      <c r="Q6" s="6"/>
      <c r="R6" s="6"/>
      <c r="T6" s="7"/>
      <c r="U6" s="7"/>
      <c r="V6" s="7"/>
      <c r="W6" s="7"/>
      <c r="X6" s="7"/>
      <c r="Y6" s="7"/>
      <c r="Z6" s="7"/>
      <c r="AA6" s="7"/>
      <c r="AB6" s="7"/>
      <c r="AC6" s="44"/>
      <c r="AD6" s="67"/>
      <c r="AE6" s="45"/>
      <c r="AF6" s="45"/>
      <c r="AG6" s="45"/>
      <c r="AH6" s="46"/>
      <c r="AI6" s="21"/>
      <c r="AK6" s="15"/>
      <c r="AL6" s="15"/>
    </row>
    <row r="7" spans="3:38" ht="12">
      <c r="C7" s="118" t="s">
        <v>121</v>
      </c>
      <c r="D7" s="8"/>
      <c r="E7" s="8"/>
      <c r="F7" s="8"/>
      <c r="G7" s="8"/>
      <c r="L7" s="54" t="s">
        <v>9</v>
      </c>
      <c r="M7" s="55"/>
      <c r="N7" s="56">
        <f>'Vad får jag för...'!D10</f>
        <v>400000</v>
      </c>
      <c r="Q7" s="11"/>
      <c r="R7" s="11"/>
      <c r="AC7" s="44">
        <f>IF(W32&gt;0,"- Sätt in mer pengar som egen insats, eller","")</f>
      </c>
      <c r="AD7" s="67"/>
      <c r="AE7" s="49"/>
      <c r="AF7" s="49"/>
      <c r="AG7" s="50"/>
      <c r="AH7" s="51"/>
      <c r="AK7" s="12"/>
      <c r="AL7" s="12"/>
    </row>
    <row r="8" spans="3:38" ht="12">
      <c r="C8" s="1" t="s">
        <v>5</v>
      </c>
      <c r="L8" s="110" t="s">
        <v>127</v>
      </c>
      <c r="M8" s="134"/>
      <c r="N8" s="57">
        <v>1000</v>
      </c>
      <c r="Q8" s="22"/>
      <c r="R8" s="22"/>
      <c r="AC8" s="47">
        <f>IF(W32&gt;0,"- Ta ett dyrare högrisklån på summan. I kalkylen 6,99 %","")</f>
      </c>
      <c r="AD8" s="68"/>
      <c r="AE8" s="17"/>
      <c r="AF8" s="17"/>
      <c r="AG8" s="17"/>
      <c r="AH8" s="48"/>
      <c r="AK8" s="12"/>
      <c r="AL8" s="12"/>
    </row>
    <row r="9" spans="3:38" ht="12">
      <c r="C9" s="2" t="s">
        <v>142</v>
      </c>
      <c r="L9" s="133" t="s">
        <v>126</v>
      </c>
      <c r="M9" s="135"/>
      <c r="N9" s="136"/>
      <c r="Q9" s="22"/>
      <c r="R9" s="22"/>
      <c r="AC9" s="67"/>
      <c r="AD9" s="67"/>
      <c r="AE9" s="13"/>
      <c r="AF9" s="13"/>
      <c r="AG9" s="13"/>
      <c r="AH9" s="12"/>
      <c r="AK9" s="12"/>
      <c r="AL9" s="12"/>
    </row>
    <row r="10" spans="3:38" ht="7.5" customHeight="1">
      <c r="C10" s="6"/>
      <c r="D10" s="6"/>
      <c r="E10" s="6"/>
      <c r="F10" s="6"/>
      <c r="G10" s="6"/>
      <c r="J10" s="14"/>
      <c r="K10" s="3"/>
      <c r="M10" s="6"/>
      <c r="P10" s="1"/>
      <c r="Q10" s="1"/>
      <c r="R10" s="1"/>
      <c r="AJ10" s="12"/>
      <c r="AK10" s="12"/>
      <c r="AL10" s="12"/>
    </row>
    <row r="11" spans="2:38" s="65" customFormat="1" ht="134.25" customHeight="1">
      <c r="B11" s="61" t="s">
        <v>122</v>
      </c>
      <c r="C11" s="63" t="s">
        <v>77</v>
      </c>
      <c r="D11" s="61" t="s">
        <v>166</v>
      </c>
      <c r="E11" s="63" t="s">
        <v>131</v>
      </c>
      <c r="F11" s="63" t="s">
        <v>172</v>
      </c>
      <c r="G11" s="62" t="s">
        <v>136</v>
      </c>
      <c r="H11" s="63" t="s">
        <v>137</v>
      </c>
      <c r="I11" s="62" t="s">
        <v>138</v>
      </c>
      <c r="J11" s="109" t="s">
        <v>139</v>
      </c>
      <c r="K11" s="61" t="s">
        <v>140</v>
      </c>
      <c r="L11" s="77" t="s">
        <v>141</v>
      </c>
      <c r="M11" s="61" t="s">
        <v>160</v>
      </c>
      <c r="N11" s="63" t="s">
        <v>143</v>
      </c>
      <c r="O11" s="62" t="s">
        <v>144</v>
      </c>
      <c r="P11" s="62" t="s">
        <v>65</v>
      </c>
      <c r="Q11" s="62" t="s">
        <v>66</v>
      </c>
      <c r="R11" s="62" t="s">
        <v>67</v>
      </c>
      <c r="S11" s="62" t="s">
        <v>68</v>
      </c>
      <c r="T11" s="62" t="s">
        <v>46</v>
      </c>
      <c r="U11" s="63" t="s">
        <v>149</v>
      </c>
      <c r="V11" s="62" t="s">
        <v>150</v>
      </c>
      <c r="W11" s="63" t="s">
        <v>151</v>
      </c>
      <c r="X11" s="63" t="s">
        <v>76</v>
      </c>
      <c r="Y11" s="63"/>
      <c r="Z11" s="62" t="s">
        <v>152</v>
      </c>
      <c r="AA11" s="63" t="s">
        <v>44</v>
      </c>
      <c r="AB11" s="63" t="s">
        <v>45</v>
      </c>
      <c r="AC11" s="63" t="s">
        <v>153</v>
      </c>
      <c r="AD11" s="62" t="s">
        <v>154</v>
      </c>
      <c r="AE11" s="63" t="s">
        <v>155</v>
      </c>
      <c r="AF11" s="62" t="s">
        <v>156</v>
      </c>
      <c r="AG11" s="63" t="s">
        <v>157</v>
      </c>
      <c r="AH11" s="62" t="s">
        <v>158</v>
      </c>
      <c r="AI11" s="63" t="s">
        <v>174</v>
      </c>
      <c r="AJ11" s="64"/>
      <c r="AK11" s="64"/>
      <c r="AL11" s="64"/>
    </row>
    <row r="12" spans="2:38" s="65" customFormat="1" ht="19.5" customHeight="1">
      <c r="B12" s="72"/>
      <c r="C12" s="71"/>
      <c r="D12" s="72"/>
      <c r="E12" s="71"/>
      <c r="F12" s="71"/>
      <c r="G12" s="72"/>
      <c r="H12" s="71"/>
      <c r="I12" s="72"/>
      <c r="J12" s="71"/>
      <c r="K12" s="72"/>
      <c r="L12" s="71"/>
      <c r="M12" s="72"/>
      <c r="N12" s="71"/>
      <c r="O12" s="72"/>
      <c r="P12" s="72"/>
      <c r="Q12" s="72"/>
      <c r="R12" s="72"/>
      <c r="S12" s="72"/>
      <c r="T12" s="72"/>
      <c r="U12" s="71"/>
      <c r="V12" s="72"/>
      <c r="W12" s="71"/>
      <c r="X12" s="71"/>
      <c r="Y12" s="71"/>
      <c r="Z12" s="72"/>
      <c r="AA12" s="71"/>
      <c r="AB12" s="71"/>
      <c r="AC12" s="71"/>
      <c r="AD12" s="72"/>
      <c r="AE12" s="71"/>
      <c r="AF12" s="72"/>
      <c r="AG12" s="71"/>
      <c r="AH12" s="72"/>
      <c r="AI12" s="71"/>
      <c r="AJ12" s="64"/>
      <c r="AK12" s="64"/>
      <c r="AL12" s="64"/>
    </row>
    <row r="13" spans="2:38" s="65" customFormat="1" ht="9" customHeight="1">
      <c r="B13" s="71"/>
      <c r="C13" s="71"/>
      <c r="D13" s="71"/>
      <c r="E13" s="71"/>
      <c r="F13" s="71"/>
      <c r="G13" s="71"/>
      <c r="H13" s="71"/>
      <c r="I13" s="71"/>
      <c r="J13" s="71"/>
      <c r="K13" s="73"/>
      <c r="L13" s="73"/>
      <c r="M13" s="74"/>
      <c r="N13" s="73"/>
      <c r="O13" s="73"/>
      <c r="P13" s="73"/>
      <c r="Q13" s="73"/>
      <c r="R13" s="73"/>
      <c r="S13" s="73"/>
      <c r="T13" s="73"/>
      <c r="U13" s="73"/>
      <c r="V13" s="73"/>
      <c r="W13" s="73"/>
      <c r="X13" s="73"/>
      <c r="Y13" s="73"/>
      <c r="Z13" s="73"/>
      <c r="AA13" s="73"/>
      <c r="AB13" s="73"/>
      <c r="AC13" s="73"/>
      <c r="AD13" s="73"/>
      <c r="AE13" s="73"/>
      <c r="AF13" s="73"/>
      <c r="AG13" s="73"/>
      <c r="AH13" s="73"/>
      <c r="AI13" s="73"/>
      <c r="AJ13" s="64"/>
      <c r="AK13" s="64"/>
      <c r="AL13" s="64"/>
    </row>
    <row r="14" spans="3:34" ht="12">
      <c r="C14" s="3" t="s">
        <v>79</v>
      </c>
      <c r="D14" s="3"/>
      <c r="E14" s="3"/>
      <c r="F14" s="3"/>
      <c r="L14" s="23"/>
      <c r="N14" s="23"/>
      <c r="O14" s="23"/>
      <c r="P14" s="23"/>
      <c r="Q14" s="23"/>
      <c r="R14" s="23"/>
      <c r="S14" s="23"/>
      <c r="T14" s="23"/>
      <c r="U14" s="23"/>
      <c r="V14" s="23"/>
      <c r="W14" s="23"/>
      <c r="X14" s="23"/>
      <c r="Y14" s="39">
        <f>IF(W14&gt;0,"OBS!","")</f>
      </c>
      <c r="Z14" s="23"/>
      <c r="AA14" s="29"/>
      <c r="AB14" s="29"/>
      <c r="AC14" s="29"/>
      <c r="AD14" s="29"/>
      <c r="AE14" s="23"/>
      <c r="AF14" s="23"/>
      <c r="AG14" s="23"/>
      <c r="AH14" s="23"/>
    </row>
    <row r="15" spans="3:35" ht="12">
      <c r="C15" s="16"/>
      <c r="D15" s="16"/>
      <c r="E15" s="16"/>
      <c r="F15" s="16"/>
      <c r="G15" s="16"/>
      <c r="H15" s="17"/>
      <c r="I15" s="17"/>
      <c r="J15" s="17"/>
      <c r="K15" s="17"/>
      <c r="L15" s="27"/>
      <c r="M15" s="16"/>
      <c r="N15" s="27"/>
      <c r="O15" s="27"/>
      <c r="P15" s="27"/>
      <c r="Q15" s="27"/>
      <c r="R15" s="27"/>
      <c r="S15" s="27"/>
      <c r="T15" s="27"/>
      <c r="U15" s="27"/>
      <c r="V15" s="27"/>
      <c r="W15" s="27"/>
      <c r="X15" s="27"/>
      <c r="Y15" s="40">
        <f>IF(W15&gt;0,"OBS!","")</f>
      </c>
      <c r="Z15" s="27"/>
      <c r="AA15" s="28"/>
      <c r="AB15" s="28"/>
      <c r="AC15" s="28"/>
      <c r="AD15" s="28"/>
      <c r="AE15" s="27"/>
      <c r="AF15" s="27"/>
      <c r="AG15" s="27"/>
      <c r="AH15" s="27"/>
      <c r="AI15" s="16"/>
    </row>
    <row r="16" spans="2:35" ht="12">
      <c r="B16" s="69" t="s">
        <v>63</v>
      </c>
      <c r="C16" s="140" t="s">
        <v>165</v>
      </c>
      <c r="D16" s="144" t="s">
        <v>167</v>
      </c>
      <c r="E16" s="148" t="s">
        <v>170</v>
      </c>
      <c r="F16" s="147" t="s">
        <v>63</v>
      </c>
      <c r="G16" s="24">
        <v>46</v>
      </c>
      <c r="H16" s="25">
        <v>1857</v>
      </c>
      <c r="I16" s="25">
        <v>1890000</v>
      </c>
      <c r="J16" s="25">
        <v>2830000</v>
      </c>
      <c r="K16" s="26">
        <v>2510000</v>
      </c>
      <c r="L16" s="23">
        <f>IF(K16&gt;0,AG16+H16+$N$8,"")</f>
        <v>5494.5</v>
      </c>
      <c r="M16" s="13">
        <f>IF(K16&gt;0,AH16+H16,"")</f>
        <v>3703.25</v>
      </c>
      <c r="N16" s="23">
        <f>IF(K16&gt;0,K16/G16,"")</f>
        <v>54565.217391304344</v>
      </c>
      <c r="O16" s="23">
        <f>IF(K16&gt;0,H16/G16,"")</f>
        <v>40.369565217391305</v>
      </c>
      <c r="P16" s="23">
        <f>K16*$Q$5</f>
        <v>250999.99999999994</v>
      </c>
      <c r="Q16" s="23">
        <f>P16-$N$7</f>
        <v>-149000.00000000006</v>
      </c>
      <c r="R16" s="23">
        <f>$M$5*K16</f>
        <v>0</v>
      </c>
      <c r="S16" s="23">
        <f>R16+Q16</f>
        <v>-149000.00000000006</v>
      </c>
      <c r="T16" s="23">
        <f>IF(Q16&gt;0,R16,S16)</f>
        <v>-149000.00000000006</v>
      </c>
      <c r="U16" s="23">
        <f>IF(K16&gt;0,AG16/G16,"")</f>
        <v>57.33695652173913</v>
      </c>
      <c r="V16" s="23">
        <f>IF(K16&gt;0,K16*0.1,"")</f>
        <v>251000</v>
      </c>
      <c r="W16" s="23">
        <f>IF(K16&gt;0,IF(Q16&gt;0,Q16,0),"")</f>
        <v>0</v>
      </c>
      <c r="X16" s="70">
        <f>((K16-$N$7)/K16)</f>
        <v>0.8406374501992032</v>
      </c>
      <c r="Y16" s="75">
        <f>IF(K16&gt;0,IF(W16&gt;0,X16,""),"")</f>
      </c>
      <c r="Z16" s="23">
        <f>IF(K16&gt;0,IF(T16&gt;0,T16,0),"")</f>
        <v>0</v>
      </c>
      <c r="AA16" s="29">
        <f>$N$5*K16</f>
        <v>2259000</v>
      </c>
      <c r="AB16" s="29">
        <f>AA16+S16</f>
        <v>2110000</v>
      </c>
      <c r="AC16" s="29">
        <f>IF(K16&gt;0,IF(S16&gt;0,AA16,AB16),"")</f>
        <v>2110000</v>
      </c>
      <c r="AD16" s="29">
        <f>IF(K16&gt;0,($S$5*W16)/12,"")</f>
        <v>0</v>
      </c>
      <c r="AE16" s="23">
        <f>IF(K16&gt;0,(W16+Z16)*$M$4/12,"")</f>
        <v>0</v>
      </c>
      <c r="AF16" s="23">
        <f>IF(K16&gt;0,AC16*$N$4/12,"")</f>
        <v>2637.5</v>
      </c>
      <c r="AG16" s="23">
        <f>IF(K16&gt;0,AD16+AF16+AE16,"")</f>
        <v>2637.5</v>
      </c>
      <c r="AH16" s="23">
        <f>IF(K16&gt;0,0.7*MIN(AG16,100000)+0.8*MAX(0,AG16-100000),"")</f>
        <v>1846.2499999999998</v>
      </c>
      <c r="AI16" s="33"/>
    </row>
    <row r="17" spans="2:35" ht="12">
      <c r="B17" s="69"/>
      <c r="C17" s="146" t="s">
        <v>168</v>
      </c>
      <c r="D17" s="144" t="s">
        <v>169</v>
      </c>
      <c r="E17" s="148" t="s">
        <v>171</v>
      </c>
      <c r="F17" s="24">
        <v>6</v>
      </c>
      <c r="G17" s="24">
        <v>51</v>
      </c>
      <c r="H17" s="25">
        <v>2012</v>
      </c>
      <c r="I17" s="25">
        <v>1450000</v>
      </c>
      <c r="J17" s="25">
        <v>1750000</v>
      </c>
      <c r="K17" s="26">
        <v>1410000</v>
      </c>
      <c r="L17" s="23">
        <f>IF(K17&gt;0,AG17+H17+$N$8,"")</f>
        <v>4274.5</v>
      </c>
      <c r="M17" s="13">
        <f>IF(K17&gt;0,AH17+H17,"")</f>
        <v>2895.75</v>
      </c>
      <c r="N17" s="23">
        <f>IF(K17&gt;0,K17/G17,"")</f>
        <v>27647.058823529413</v>
      </c>
      <c r="O17" s="23">
        <f aca="true" t="shared" si="0" ref="O17:O27">IF(K17&gt;0,H17/G17,"")</f>
        <v>39.450980392156865</v>
      </c>
      <c r="P17" s="23">
        <f>K17*$Q$5</f>
        <v>140999.99999999997</v>
      </c>
      <c r="Q17" s="23">
        <f>P17-$N$7</f>
        <v>-259000.00000000003</v>
      </c>
      <c r="R17" s="23">
        <f>$M$5*K17</f>
        <v>0</v>
      </c>
      <c r="S17" s="23">
        <f>R17+Q17</f>
        <v>-259000.00000000003</v>
      </c>
      <c r="T17" s="23">
        <f>IF(Q17&gt;0,R17,S17)</f>
        <v>-259000.00000000003</v>
      </c>
      <c r="U17" s="23">
        <f>IF(K17&gt;0,AG17/G17,"")</f>
        <v>24.754901960784313</v>
      </c>
      <c r="V17" s="23">
        <f>IF(K17&gt;0,K17*0.1,"")</f>
        <v>141000</v>
      </c>
      <c r="W17" s="23">
        <f>IF(K17&gt;0,IF(Q17&gt;0,Q17,0),"")</f>
        <v>0</v>
      </c>
      <c r="X17" s="70">
        <f>((K17-$N$7)/K17)</f>
        <v>0.7163120567375887</v>
      </c>
      <c r="Y17" s="75">
        <f>IF(K17&gt;0,IF(W17&gt;0,X17,""),"")</f>
      </c>
      <c r="Z17" s="23">
        <f>IF(K17&gt;0,IF(T17&gt;0,T17,0),"")</f>
        <v>0</v>
      </c>
      <c r="AA17" s="29">
        <f>$N$5*K17</f>
        <v>1269000</v>
      </c>
      <c r="AB17" s="29">
        <f>AA17+S17</f>
        <v>1010000</v>
      </c>
      <c r="AC17" s="29">
        <f>IF(K17&gt;0,IF(S17&gt;0,AA17,AB17),"")</f>
        <v>1010000</v>
      </c>
      <c r="AD17" s="29">
        <f>IF(K17&gt;0,($S$5*W17)/12,"")</f>
        <v>0</v>
      </c>
      <c r="AE17" s="23">
        <f>IF(K17&gt;0,(W17+Z17)*$M$4/12,"")</f>
        <v>0</v>
      </c>
      <c r="AF17" s="23">
        <f>IF(K17&gt;0,AC17*$N$4/12,"")</f>
        <v>1262.5</v>
      </c>
      <c r="AG17" s="23">
        <f>IF(K17&gt;0,AD17+AF17+AE17,"")</f>
        <v>1262.5</v>
      </c>
      <c r="AH17" s="23">
        <f>IF(K17&gt;0,0.7*MIN(AG17,100000)+0.8*MAX(0,AG17-100000),"")</f>
        <v>883.75</v>
      </c>
      <c r="AI17" s="33"/>
    </row>
    <row r="18" spans="2:35" ht="12">
      <c r="B18" s="69"/>
      <c r="C18" s="140"/>
      <c r="D18" s="103"/>
      <c r="E18" s="24"/>
      <c r="F18" s="24"/>
      <c r="G18" s="24"/>
      <c r="H18" s="25"/>
      <c r="I18" s="25"/>
      <c r="J18" s="25"/>
      <c r="K18" s="26"/>
      <c r="L18" s="23">
        <f aca="true" t="shared" si="1" ref="L18:L27">IF(K18&gt;0,AG18+H18+$N$8,"")</f>
      </c>
      <c r="M18" s="13">
        <f aca="true" t="shared" si="2" ref="M18:M27">IF(K18&gt;0,AH18+H18,"")</f>
      </c>
      <c r="N18" s="23">
        <f aca="true" t="shared" si="3" ref="N18:N27">IF(K18&gt;0,K18/G18,"")</f>
      </c>
      <c r="O18" s="23">
        <f t="shared" si="0"/>
      </c>
      <c r="P18" s="23">
        <f aca="true" t="shared" si="4" ref="P18:P27">K18*$Q$5</f>
        <v>0</v>
      </c>
      <c r="Q18" s="23">
        <f aca="true" t="shared" si="5" ref="Q18:Q27">P18-$N$7</f>
        <v>-400000</v>
      </c>
      <c r="R18" s="23">
        <f aca="true" t="shared" si="6" ref="R18:R27">$M$5*K18</f>
        <v>0</v>
      </c>
      <c r="S18" s="23">
        <f aca="true" t="shared" si="7" ref="S18:S27">R18+Q18</f>
        <v>-400000</v>
      </c>
      <c r="T18" s="23">
        <f aca="true" t="shared" si="8" ref="T18:T27">IF(Q18&gt;0,R18,S18)</f>
        <v>-400000</v>
      </c>
      <c r="U18" s="23">
        <f aca="true" t="shared" si="9" ref="U18:U27">IF(K18&gt;0,AG18/G18,"")</f>
      </c>
      <c r="V18" s="23">
        <f aca="true" t="shared" si="10" ref="V18:V27">IF(K18&gt;0,K18*0.1,"")</f>
      </c>
      <c r="W18" s="23">
        <f aca="true" t="shared" si="11" ref="W18:W27">IF(K18&gt;0,IF(Q18&gt;0,Q18,0),"")</f>
      </c>
      <c r="X18" s="70" t="e">
        <f aca="true" t="shared" si="12" ref="X18:X27">((K18-$N$7)/K18)</f>
        <v>#DIV/0!</v>
      </c>
      <c r="Y18" s="75">
        <f aca="true" t="shared" si="13" ref="Y18:Y27">IF(K18&gt;0,IF(W18&gt;0,X18,""),"")</f>
      </c>
      <c r="Z18" s="23">
        <f aca="true" t="shared" si="14" ref="Z18:Z27">IF(K18&gt;0,IF(T18&gt;0,T18,0),"")</f>
      </c>
      <c r="AA18" s="29">
        <f aca="true" t="shared" si="15" ref="AA18:AA27">$N$5*K18</f>
        <v>0</v>
      </c>
      <c r="AB18" s="29">
        <f aca="true" t="shared" si="16" ref="AB18:AB27">AA18+S18</f>
        <v>-400000</v>
      </c>
      <c r="AC18" s="29">
        <f aca="true" t="shared" si="17" ref="AC18:AC27">IF(K18&gt;0,IF(S18&gt;0,AA18,AB18),"")</f>
      </c>
      <c r="AD18" s="29">
        <f aca="true" t="shared" si="18" ref="AD18:AD27">IF(K18&gt;0,($S$5*W18)/12,"")</f>
      </c>
      <c r="AE18" s="23">
        <f aca="true" t="shared" si="19" ref="AE18:AE27">IF(K18&gt;0,(W18+Z18)*$M$4/12,"")</f>
      </c>
      <c r="AF18" s="23">
        <f aca="true" t="shared" si="20" ref="AF18:AF27">IF(K18&gt;0,AC18*$N$4/12,"")</f>
      </c>
      <c r="AG18" s="23">
        <f aca="true" t="shared" si="21" ref="AG18:AG27">IF(K18&gt;0,AD18+AF18+AE18,"")</f>
      </c>
      <c r="AH18" s="23">
        <f aca="true" t="shared" si="22" ref="AH18:AH27">IF(K18&gt;0,0.7*MIN(AG18,100000)+0.8*MAX(0,AG18-100000),"")</f>
      </c>
      <c r="AI18" s="33"/>
    </row>
    <row r="19" spans="2:35" ht="12">
      <c r="B19" s="69"/>
      <c r="C19" s="117"/>
      <c r="D19" s="144"/>
      <c r="E19" s="24"/>
      <c r="F19" s="24"/>
      <c r="G19" s="24"/>
      <c r="H19" s="25"/>
      <c r="I19" s="25"/>
      <c r="J19" s="143"/>
      <c r="K19" s="26"/>
      <c r="L19" s="23">
        <f t="shared" si="1"/>
      </c>
      <c r="M19" s="13">
        <f t="shared" si="2"/>
      </c>
      <c r="N19" s="23">
        <f t="shared" si="3"/>
      </c>
      <c r="O19" s="23">
        <f t="shared" si="0"/>
      </c>
      <c r="P19" s="23">
        <f t="shared" si="4"/>
        <v>0</v>
      </c>
      <c r="Q19" s="23">
        <f t="shared" si="5"/>
        <v>-400000</v>
      </c>
      <c r="R19" s="23">
        <f t="shared" si="6"/>
        <v>0</v>
      </c>
      <c r="S19" s="23">
        <f t="shared" si="7"/>
        <v>-400000</v>
      </c>
      <c r="T19" s="23">
        <f t="shared" si="8"/>
        <v>-400000</v>
      </c>
      <c r="U19" s="23">
        <f t="shared" si="9"/>
      </c>
      <c r="V19" s="23">
        <f t="shared" si="10"/>
      </c>
      <c r="W19" s="23">
        <f t="shared" si="11"/>
      </c>
      <c r="X19" s="70" t="e">
        <f t="shared" si="12"/>
        <v>#DIV/0!</v>
      </c>
      <c r="Y19" s="75">
        <f t="shared" si="13"/>
      </c>
      <c r="Z19" s="23">
        <f t="shared" si="14"/>
      </c>
      <c r="AA19" s="29">
        <f t="shared" si="15"/>
        <v>0</v>
      </c>
      <c r="AB19" s="29">
        <f t="shared" si="16"/>
        <v>-400000</v>
      </c>
      <c r="AC19" s="29">
        <f t="shared" si="17"/>
      </c>
      <c r="AD19" s="29">
        <f t="shared" si="18"/>
      </c>
      <c r="AE19" s="23">
        <f t="shared" si="19"/>
      </c>
      <c r="AF19" s="23">
        <f t="shared" si="20"/>
      </c>
      <c r="AG19" s="23">
        <f t="shared" si="21"/>
      </c>
      <c r="AH19" s="23">
        <f t="shared" si="22"/>
      </c>
      <c r="AI19" s="33"/>
    </row>
    <row r="20" spans="1:35" ht="12">
      <c r="A20" s="20"/>
      <c r="B20" s="69"/>
      <c r="C20" s="140"/>
      <c r="D20" s="103"/>
      <c r="E20" s="24"/>
      <c r="F20" s="24"/>
      <c r="G20" s="24"/>
      <c r="H20" s="25"/>
      <c r="I20" s="25"/>
      <c r="J20" s="25"/>
      <c r="K20" s="26"/>
      <c r="L20" s="23">
        <f t="shared" si="1"/>
      </c>
      <c r="M20" s="13">
        <f t="shared" si="2"/>
      </c>
      <c r="N20" s="23"/>
      <c r="O20" s="23">
        <f t="shared" si="0"/>
      </c>
      <c r="P20" s="23">
        <f t="shared" si="4"/>
        <v>0</v>
      </c>
      <c r="Q20" s="23">
        <f t="shared" si="5"/>
        <v>-400000</v>
      </c>
      <c r="R20" s="23">
        <f t="shared" si="6"/>
        <v>0</v>
      </c>
      <c r="S20" s="23">
        <f t="shared" si="7"/>
        <v>-400000</v>
      </c>
      <c r="T20" s="23">
        <f t="shared" si="8"/>
        <v>-400000</v>
      </c>
      <c r="U20" s="23">
        <f t="shared" si="9"/>
      </c>
      <c r="V20" s="23">
        <f t="shared" si="10"/>
      </c>
      <c r="W20" s="23">
        <f t="shared" si="11"/>
      </c>
      <c r="X20" s="70" t="e">
        <f t="shared" si="12"/>
        <v>#DIV/0!</v>
      </c>
      <c r="Y20" s="75">
        <f t="shared" si="13"/>
      </c>
      <c r="Z20" s="23">
        <f t="shared" si="14"/>
      </c>
      <c r="AA20" s="29">
        <f t="shared" si="15"/>
        <v>0</v>
      </c>
      <c r="AB20" s="29">
        <f t="shared" si="16"/>
        <v>-400000</v>
      </c>
      <c r="AC20" s="29">
        <f t="shared" si="17"/>
      </c>
      <c r="AD20" s="29">
        <f t="shared" si="18"/>
      </c>
      <c r="AE20" s="23">
        <f t="shared" si="19"/>
      </c>
      <c r="AF20" s="23">
        <f t="shared" si="20"/>
      </c>
      <c r="AG20" s="23">
        <f t="shared" si="21"/>
      </c>
      <c r="AH20" s="23">
        <f t="shared" si="22"/>
      </c>
      <c r="AI20" s="33"/>
    </row>
    <row r="21" spans="2:35" ht="12">
      <c r="B21" s="69"/>
      <c r="C21" s="140"/>
      <c r="D21" s="138"/>
      <c r="E21" s="24"/>
      <c r="F21" s="24"/>
      <c r="G21" s="24"/>
      <c r="H21" s="25"/>
      <c r="I21" s="25"/>
      <c r="J21" s="25"/>
      <c r="K21" s="26"/>
      <c r="L21" s="23">
        <f t="shared" si="1"/>
      </c>
      <c r="M21" s="13">
        <f t="shared" si="2"/>
      </c>
      <c r="N21" s="23">
        <f t="shared" si="3"/>
      </c>
      <c r="O21" s="23">
        <f t="shared" si="0"/>
      </c>
      <c r="P21" s="23">
        <f t="shared" si="4"/>
        <v>0</v>
      </c>
      <c r="Q21" s="23">
        <f t="shared" si="5"/>
        <v>-400000</v>
      </c>
      <c r="R21" s="23">
        <f t="shared" si="6"/>
        <v>0</v>
      </c>
      <c r="S21" s="23">
        <f t="shared" si="7"/>
        <v>-400000</v>
      </c>
      <c r="T21" s="23">
        <f t="shared" si="8"/>
        <v>-400000</v>
      </c>
      <c r="U21" s="23">
        <f t="shared" si="9"/>
      </c>
      <c r="V21" s="23">
        <f t="shared" si="10"/>
      </c>
      <c r="W21" s="23">
        <f t="shared" si="11"/>
      </c>
      <c r="X21" s="70" t="e">
        <f t="shared" si="12"/>
        <v>#DIV/0!</v>
      </c>
      <c r="Y21" s="75">
        <f t="shared" si="13"/>
      </c>
      <c r="Z21" s="23">
        <f t="shared" si="14"/>
      </c>
      <c r="AA21" s="29">
        <f t="shared" si="15"/>
        <v>0</v>
      </c>
      <c r="AB21" s="29">
        <f t="shared" si="16"/>
        <v>-400000</v>
      </c>
      <c r="AC21" s="29">
        <f t="shared" si="17"/>
      </c>
      <c r="AD21" s="29">
        <f t="shared" si="18"/>
      </c>
      <c r="AE21" s="23">
        <f t="shared" si="19"/>
      </c>
      <c r="AF21" s="23">
        <f t="shared" si="20"/>
      </c>
      <c r="AG21" s="23">
        <f t="shared" si="21"/>
      </c>
      <c r="AH21" s="23">
        <f t="shared" si="22"/>
      </c>
      <c r="AI21" s="33"/>
    </row>
    <row r="22" spans="1:35" ht="12">
      <c r="A22" s="20"/>
      <c r="B22" s="69"/>
      <c r="C22" s="117"/>
      <c r="D22" s="114"/>
      <c r="E22" s="24"/>
      <c r="F22" s="24"/>
      <c r="G22" s="24"/>
      <c r="H22" s="25"/>
      <c r="I22" s="25"/>
      <c r="J22" s="25"/>
      <c r="K22" s="26"/>
      <c r="L22" s="23">
        <f t="shared" si="1"/>
      </c>
      <c r="M22" s="13">
        <f t="shared" si="2"/>
      </c>
      <c r="N22" s="23">
        <f t="shared" si="3"/>
      </c>
      <c r="O22" s="23">
        <f t="shared" si="0"/>
      </c>
      <c r="P22" s="23">
        <f t="shared" si="4"/>
        <v>0</v>
      </c>
      <c r="Q22" s="23">
        <f t="shared" si="5"/>
        <v>-400000</v>
      </c>
      <c r="R22" s="23">
        <f t="shared" si="6"/>
        <v>0</v>
      </c>
      <c r="S22" s="23">
        <f t="shared" si="7"/>
        <v>-400000</v>
      </c>
      <c r="T22" s="23">
        <f t="shared" si="8"/>
        <v>-400000</v>
      </c>
      <c r="U22" s="23">
        <f t="shared" si="9"/>
      </c>
      <c r="V22" s="23">
        <f t="shared" si="10"/>
      </c>
      <c r="W22" s="23">
        <f t="shared" si="11"/>
      </c>
      <c r="X22" s="70" t="e">
        <f t="shared" si="12"/>
        <v>#DIV/0!</v>
      </c>
      <c r="Y22" s="75">
        <f t="shared" si="13"/>
      </c>
      <c r="Z22" s="23">
        <f t="shared" si="14"/>
      </c>
      <c r="AA22" s="29">
        <f t="shared" si="15"/>
        <v>0</v>
      </c>
      <c r="AB22" s="29">
        <f t="shared" si="16"/>
        <v>-400000</v>
      </c>
      <c r="AC22" s="29">
        <f t="shared" si="17"/>
      </c>
      <c r="AD22" s="29">
        <f t="shared" si="18"/>
      </c>
      <c r="AE22" s="23">
        <f t="shared" si="19"/>
      </c>
      <c r="AF22" s="23">
        <f t="shared" si="20"/>
      </c>
      <c r="AG22" s="23">
        <f t="shared" si="21"/>
      </c>
      <c r="AH22" s="23">
        <f t="shared" si="22"/>
      </c>
      <c r="AI22" s="33"/>
    </row>
    <row r="23" spans="2:35" ht="12">
      <c r="B23" s="69"/>
      <c r="C23" s="117"/>
      <c r="D23" s="113"/>
      <c r="E23" s="24"/>
      <c r="F23" s="24"/>
      <c r="G23" s="24"/>
      <c r="H23" s="25"/>
      <c r="I23" s="25"/>
      <c r="J23" s="25"/>
      <c r="K23" s="26"/>
      <c r="L23" s="23">
        <f t="shared" si="1"/>
      </c>
      <c r="M23" s="13">
        <f t="shared" si="2"/>
      </c>
      <c r="N23" s="23">
        <f t="shared" si="3"/>
      </c>
      <c r="O23" s="23">
        <f t="shared" si="0"/>
      </c>
      <c r="P23" s="23">
        <f t="shared" si="4"/>
        <v>0</v>
      </c>
      <c r="Q23" s="23">
        <f t="shared" si="5"/>
        <v>-400000</v>
      </c>
      <c r="R23" s="23">
        <f t="shared" si="6"/>
        <v>0</v>
      </c>
      <c r="S23" s="23">
        <f t="shared" si="7"/>
        <v>-400000</v>
      </c>
      <c r="T23" s="23">
        <f t="shared" si="8"/>
        <v>-400000</v>
      </c>
      <c r="U23" s="23">
        <f t="shared" si="9"/>
      </c>
      <c r="V23" s="23">
        <f t="shared" si="10"/>
      </c>
      <c r="W23" s="23">
        <f t="shared" si="11"/>
      </c>
      <c r="X23" s="70" t="e">
        <f t="shared" si="12"/>
        <v>#DIV/0!</v>
      </c>
      <c r="Y23" s="75">
        <f t="shared" si="13"/>
      </c>
      <c r="Z23" s="23">
        <f t="shared" si="14"/>
      </c>
      <c r="AA23" s="29">
        <f t="shared" si="15"/>
        <v>0</v>
      </c>
      <c r="AB23" s="29">
        <f t="shared" si="16"/>
        <v>-400000</v>
      </c>
      <c r="AC23" s="29">
        <f t="shared" si="17"/>
      </c>
      <c r="AD23" s="29">
        <f t="shared" si="18"/>
      </c>
      <c r="AE23" s="23">
        <f t="shared" si="19"/>
      </c>
      <c r="AF23" s="23">
        <f t="shared" si="20"/>
      </c>
      <c r="AG23" s="23">
        <f t="shared" si="21"/>
      </c>
      <c r="AH23" s="23">
        <f t="shared" si="22"/>
      </c>
      <c r="AI23" s="33"/>
    </row>
    <row r="24" spans="1:35" ht="12">
      <c r="A24" s="20"/>
      <c r="B24" s="69"/>
      <c r="C24" s="117"/>
      <c r="D24" s="114"/>
      <c r="E24" s="24"/>
      <c r="F24" s="24"/>
      <c r="G24" s="24"/>
      <c r="H24" s="25"/>
      <c r="I24" s="25"/>
      <c r="J24" s="25"/>
      <c r="K24" s="26"/>
      <c r="L24" s="23">
        <f t="shared" si="1"/>
      </c>
      <c r="M24" s="13">
        <f t="shared" si="2"/>
      </c>
      <c r="N24" s="23">
        <f t="shared" si="3"/>
      </c>
      <c r="O24" s="23">
        <f t="shared" si="0"/>
      </c>
      <c r="P24" s="23">
        <f t="shared" si="4"/>
        <v>0</v>
      </c>
      <c r="Q24" s="23">
        <f t="shared" si="5"/>
        <v>-400000</v>
      </c>
      <c r="R24" s="23">
        <f t="shared" si="6"/>
        <v>0</v>
      </c>
      <c r="S24" s="23">
        <f t="shared" si="7"/>
        <v>-400000</v>
      </c>
      <c r="T24" s="23">
        <f t="shared" si="8"/>
        <v>-400000</v>
      </c>
      <c r="U24" s="23">
        <f t="shared" si="9"/>
      </c>
      <c r="V24" s="23">
        <f t="shared" si="10"/>
      </c>
      <c r="W24" s="23">
        <f t="shared" si="11"/>
      </c>
      <c r="X24" s="70" t="e">
        <f t="shared" si="12"/>
        <v>#DIV/0!</v>
      </c>
      <c r="Y24" s="75">
        <f t="shared" si="13"/>
      </c>
      <c r="Z24" s="23">
        <f t="shared" si="14"/>
      </c>
      <c r="AA24" s="29">
        <f t="shared" si="15"/>
        <v>0</v>
      </c>
      <c r="AB24" s="29">
        <f t="shared" si="16"/>
        <v>-400000</v>
      </c>
      <c r="AC24" s="29">
        <f t="shared" si="17"/>
      </c>
      <c r="AD24" s="29">
        <f t="shared" si="18"/>
      </c>
      <c r="AE24" s="23">
        <f t="shared" si="19"/>
      </c>
      <c r="AF24" s="23">
        <f t="shared" si="20"/>
      </c>
      <c r="AG24" s="23">
        <f t="shared" si="21"/>
      </c>
      <c r="AH24" s="23">
        <f t="shared" si="22"/>
      </c>
      <c r="AI24" s="33"/>
    </row>
    <row r="25" spans="2:35" ht="12">
      <c r="B25" s="69"/>
      <c r="C25" s="117"/>
      <c r="D25" s="114"/>
      <c r="E25" s="24"/>
      <c r="F25" s="24"/>
      <c r="G25" s="24"/>
      <c r="H25" s="25"/>
      <c r="I25" s="25"/>
      <c r="J25" s="25"/>
      <c r="K25" s="26"/>
      <c r="L25" s="23">
        <f t="shared" si="1"/>
      </c>
      <c r="M25" s="13">
        <f t="shared" si="2"/>
      </c>
      <c r="N25" s="23">
        <f t="shared" si="3"/>
      </c>
      <c r="O25" s="23">
        <f t="shared" si="0"/>
      </c>
      <c r="P25" s="23">
        <f t="shared" si="4"/>
        <v>0</v>
      </c>
      <c r="Q25" s="23">
        <f t="shared" si="5"/>
        <v>-400000</v>
      </c>
      <c r="R25" s="23">
        <f t="shared" si="6"/>
        <v>0</v>
      </c>
      <c r="S25" s="23">
        <f t="shared" si="7"/>
        <v>-400000</v>
      </c>
      <c r="T25" s="23">
        <f t="shared" si="8"/>
        <v>-400000</v>
      </c>
      <c r="U25" s="23">
        <f t="shared" si="9"/>
      </c>
      <c r="V25" s="23">
        <f t="shared" si="10"/>
      </c>
      <c r="W25" s="23">
        <f t="shared" si="11"/>
      </c>
      <c r="X25" s="70" t="e">
        <f t="shared" si="12"/>
        <v>#DIV/0!</v>
      </c>
      <c r="Y25" s="75">
        <f t="shared" si="13"/>
      </c>
      <c r="Z25" s="23">
        <f t="shared" si="14"/>
      </c>
      <c r="AA25" s="29">
        <f t="shared" si="15"/>
        <v>0</v>
      </c>
      <c r="AB25" s="29">
        <f t="shared" si="16"/>
        <v>-400000</v>
      </c>
      <c r="AC25" s="29">
        <f t="shared" si="17"/>
      </c>
      <c r="AD25" s="29">
        <f t="shared" si="18"/>
      </c>
      <c r="AE25" s="23">
        <f t="shared" si="19"/>
      </c>
      <c r="AF25" s="23">
        <f t="shared" si="20"/>
      </c>
      <c r="AG25" s="23">
        <f t="shared" si="21"/>
      </c>
      <c r="AH25" s="23">
        <f t="shared" si="22"/>
      </c>
      <c r="AI25" s="33"/>
    </row>
    <row r="26" spans="2:35" ht="12">
      <c r="B26" s="69"/>
      <c r="C26" s="140"/>
      <c r="D26" s="138"/>
      <c r="E26" s="24"/>
      <c r="F26" s="24"/>
      <c r="G26" s="24"/>
      <c r="H26" s="25"/>
      <c r="I26" s="25"/>
      <c r="J26" s="25"/>
      <c r="K26" s="26"/>
      <c r="L26" s="23">
        <f t="shared" si="1"/>
      </c>
      <c r="M26" s="13">
        <f t="shared" si="2"/>
      </c>
      <c r="N26" s="23">
        <f t="shared" si="3"/>
      </c>
      <c r="O26" s="23">
        <f t="shared" si="0"/>
      </c>
      <c r="P26" s="23">
        <f t="shared" si="4"/>
        <v>0</v>
      </c>
      <c r="Q26" s="23">
        <f t="shared" si="5"/>
        <v>-400000</v>
      </c>
      <c r="R26" s="23">
        <f t="shared" si="6"/>
        <v>0</v>
      </c>
      <c r="S26" s="23">
        <f t="shared" si="7"/>
        <v>-400000</v>
      </c>
      <c r="T26" s="23">
        <f t="shared" si="8"/>
        <v>-400000</v>
      </c>
      <c r="U26" s="23">
        <f t="shared" si="9"/>
      </c>
      <c r="V26" s="23">
        <f t="shared" si="10"/>
      </c>
      <c r="W26" s="23">
        <f t="shared" si="11"/>
      </c>
      <c r="X26" s="70" t="e">
        <f t="shared" si="12"/>
        <v>#DIV/0!</v>
      </c>
      <c r="Y26" s="75">
        <f t="shared" si="13"/>
      </c>
      <c r="Z26" s="23">
        <f t="shared" si="14"/>
      </c>
      <c r="AA26" s="29">
        <f t="shared" si="15"/>
        <v>0</v>
      </c>
      <c r="AB26" s="29">
        <f t="shared" si="16"/>
        <v>-400000</v>
      </c>
      <c r="AC26" s="29">
        <f t="shared" si="17"/>
      </c>
      <c r="AD26" s="29">
        <f t="shared" si="18"/>
      </c>
      <c r="AE26" s="23">
        <f t="shared" si="19"/>
      </c>
      <c r="AF26" s="23">
        <f t="shared" si="20"/>
      </c>
      <c r="AG26" s="23">
        <f t="shared" si="21"/>
      </c>
      <c r="AH26" s="23">
        <f t="shared" si="22"/>
      </c>
      <c r="AI26" s="33"/>
    </row>
    <row r="27" spans="1:35" ht="12">
      <c r="A27" s="20"/>
      <c r="B27" s="69"/>
      <c r="C27" s="141"/>
      <c r="D27" s="139"/>
      <c r="E27" s="30"/>
      <c r="F27" s="30"/>
      <c r="G27" s="30"/>
      <c r="H27" s="31"/>
      <c r="I27" s="31"/>
      <c r="J27" s="31"/>
      <c r="K27" s="32"/>
      <c r="L27" s="27">
        <f t="shared" si="1"/>
      </c>
      <c r="M27" s="17">
        <f t="shared" si="2"/>
      </c>
      <c r="N27" s="27">
        <f t="shared" si="3"/>
      </c>
      <c r="O27" s="27">
        <f t="shared" si="0"/>
      </c>
      <c r="P27" s="27">
        <f t="shared" si="4"/>
        <v>0</v>
      </c>
      <c r="Q27" s="27">
        <f t="shared" si="5"/>
        <v>-400000</v>
      </c>
      <c r="R27" s="27">
        <f t="shared" si="6"/>
        <v>0</v>
      </c>
      <c r="S27" s="27">
        <f t="shared" si="7"/>
        <v>-400000</v>
      </c>
      <c r="T27" s="27">
        <f t="shared" si="8"/>
        <v>-400000</v>
      </c>
      <c r="U27" s="27">
        <f t="shared" si="9"/>
      </c>
      <c r="V27" s="27">
        <f t="shared" si="10"/>
      </c>
      <c r="W27" s="27">
        <f t="shared" si="11"/>
      </c>
      <c r="X27" s="78" t="e">
        <f t="shared" si="12"/>
        <v>#DIV/0!</v>
      </c>
      <c r="Y27" s="76">
        <f t="shared" si="13"/>
      </c>
      <c r="Z27" s="27">
        <f t="shared" si="14"/>
      </c>
      <c r="AA27" s="28">
        <f t="shared" si="15"/>
        <v>0</v>
      </c>
      <c r="AB27" s="28">
        <f t="shared" si="16"/>
        <v>-400000</v>
      </c>
      <c r="AC27" s="28">
        <f t="shared" si="17"/>
      </c>
      <c r="AD27" s="28">
        <f t="shared" si="18"/>
      </c>
      <c r="AE27" s="27">
        <f t="shared" si="19"/>
      </c>
      <c r="AF27" s="27">
        <f t="shared" si="20"/>
      </c>
      <c r="AG27" s="27">
        <f t="shared" si="21"/>
      </c>
      <c r="AH27" s="27">
        <f t="shared" si="22"/>
      </c>
      <c r="AI27" s="34"/>
    </row>
    <row r="28" spans="14:34" ht="12">
      <c r="N28" s="23"/>
      <c r="O28" s="23"/>
      <c r="P28" s="23"/>
      <c r="Q28" s="23"/>
      <c r="R28" s="23"/>
      <c r="S28" s="23"/>
      <c r="T28" s="23"/>
      <c r="U28" s="23"/>
      <c r="V28" s="23"/>
      <c r="W28" s="23"/>
      <c r="X28" s="70"/>
      <c r="Y28" s="75"/>
      <c r="Z28" s="23"/>
      <c r="AA28" s="29"/>
      <c r="AB28" s="29"/>
      <c r="AC28" s="29"/>
      <c r="AD28" s="29"/>
      <c r="AE28" s="23"/>
      <c r="AF28" s="23"/>
      <c r="AG28" s="23"/>
      <c r="AH28" s="23"/>
    </row>
    <row r="29" spans="3:34" ht="12">
      <c r="C29" s="3" t="s">
        <v>124</v>
      </c>
      <c r="D29" s="3"/>
      <c r="E29" s="3"/>
      <c r="F29" s="3"/>
      <c r="L29" s="23"/>
      <c r="N29" s="23"/>
      <c r="O29" s="23"/>
      <c r="P29" s="23"/>
      <c r="Q29" s="23"/>
      <c r="R29" s="23"/>
      <c r="S29" s="23"/>
      <c r="T29" s="23"/>
      <c r="U29" s="23"/>
      <c r="V29" s="23"/>
      <c r="W29" s="23"/>
      <c r="X29" s="23"/>
      <c r="Y29" s="39">
        <f>IF(W29&gt;0,"OBS!","")</f>
      </c>
      <c r="Z29" s="23"/>
      <c r="AA29" s="29"/>
      <c r="AB29" s="29"/>
      <c r="AC29" s="29"/>
      <c r="AD29" s="29"/>
      <c r="AE29" s="23"/>
      <c r="AF29" s="23"/>
      <c r="AG29" s="23"/>
      <c r="AH29" s="23"/>
    </row>
    <row r="30" spans="3:35" ht="12">
      <c r="C30" s="12"/>
      <c r="D30" s="12"/>
      <c r="E30" s="12"/>
      <c r="F30" s="12"/>
      <c r="G30" s="12"/>
      <c r="H30" s="13"/>
      <c r="I30" s="120" t="s">
        <v>4</v>
      </c>
      <c r="J30" s="120" t="s">
        <v>3</v>
      </c>
      <c r="K30" s="120" t="s">
        <v>125</v>
      </c>
      <c r="L30" s="23"/>
      <c r="M30" s="12"/>
      <c r="N30" s="23"/>
      <c r="O30" s="23"/>
      <c r="P30" s="23"/>
      <c r="Q30" s="23"/>
      <c r="R30" s="23"/>
      <c r="S30" s="23"/>
      <c r="T30" s="23"/>
      <c r="U30" s="23"/>
      <c r="V30" s="23"/>
      <c r="W30" s="23"/>
      <c r="X30" s="23"/>
      <c r="Y30" s="39">
        <f>IF(W30&gt;0,"OBS!","")</f>
      </c>
      <c r="Z30" s="23"/>
      <c r="AA30" s="29"/>
      <c r="AB30" s="29"/>
      <c r="AC30" s="29"/>
      <c r="AD30" s="29"/>
      <c r="AE30" s="23"/>
      <c r="AF30" s="23"/>
      <c r="AG30" s="23"/>
      <c r="AH30" s="23"/>
      <c r="AI30" s="12"/>
    </row>
    <row r="31" spans="2:35" ht="12">
      <c r="B31" s="69"/>
      <c r="C31" s="119" t="s">
        <v>123</v>
      </c>
      <c r="D31" s="121"/>
      <c r="E31" s="122"/>
      <c r="F31" s="122"/>
      <c r="G31" s="123">
        <v>35</v>
      </c>
      <c r="H31" s="124">
        <v>1412</v>
      </c>
      <c r="I31" s="125">
        <v>1650000</v>
      </c>
      <c r="J31" s="125">
        <v>0</v>
      </c>
      <c r="K31" s="126">
        <v>2000000</v>
      </c>
      <c r="L31" s="127">
        <f>IF(K31&gt;0,AG31+H31+$N$8,"")</f>
        <v>4474.5</v>
      </c>
      <c r="M31" s="128">
        <f>IF(H31&gt;0,AH31+H31,"")</f>
        <v>2855.75</v>
      </c>
      <c r="N31" s="127">
        <f>IF(K31&gt;0,K31/G31,"")</f>
        <v>57142.857142857145</v>
      </c>
      <c r="O31" s="127">
        <f>IF(K31&gt;0,H31/G31,"")</f>
        <v>40.34285714285714</v>
      </c>
      <c r="P31" s="127">
        <f>K31*$Q$5</f>
        <v>199999.99999999994</v>
      </c>
      <c r="Q31" s="127">
        <f>P31-$N$7</f>
        <v>-200000.00000000006</v>
      </c>
      <c r="R31" s="127">
        <f>$M$5*K31</f>
        <v>0</v>
      </c>
      <c r="S31" s="127">
        <f>R31+Q31</f>
        <v>-200000.00000000006</v>
      </c>
      <c r="T31" s="127">
        <f>IF(Q31&gt;0,R31,S31)</f>
        <v>-200000.00000000006</v>
      </c>
      <c r="U31" s="127">
        <f>IF(K31&gt;0,AG31/G31,"")</f>
        <v>58.92857142857143</v>
      </c>
      <c r="V31" s="127"/>
      <c r="W31" s="127"/>
      <c r="X31" s="129">
        <f>((K31-$N$7)/K31)</f>
        <v>0.8</v>
      </c>
      <c r="Y31" s="130">
        <f>IF(K31&gt;0,IF(W31&gt;0,X31,""),"")</f>
      </c>
      <c r="Z31" s="127">
        <f>J31</f>
        <v>0</v>
      </c>
      <c r="AA31" s="131">
        <f>$N$5*K31</f>
        <v>1800000</v>
      </c>
      <c r="AB31" s="131">
        <f>AA31+S31</f>
        <v>1600000</v>
      </c>
      <c r="AC31" s="131">
        <f>I31</f>
        <v>1650000</v>
      </c>
      <c r="AD31" s="131"/>
      <c r="AE31" s="127">
        <f>IF(K31&gt;0,(W31+Z31)*$M$4/12,"")</f>
        <v>0</v>
      </c>
      <c r="AF31" s="127">
        <f>IF(K31&gt;0,AC31*$N$4/12,"")</f>
        <v>2062.5</v>
      </c>
      <c r="AG31" s="127">
        <f>IF(K31&gt;0,AD31+AF31+AE31,"")</f>
        <v>2062.5</v>
      </c>
      <c r="AH31" s="127">
        <f>IF(K31&gt;0,0.7*MIN(AG31,100000)+0.8*MAX(0,AG31-100000),"")</f>
        <v>1443.75</v>
      </c>
      <c r="AI31" s="132"/>
    </row>
    <row r="32" spans="14:34" ht="12">
      <c r="N32" s="23"/>
      <c r="O32" s="23"/>
      <c r="P32" s="23"/>
      <c r="Q32" s="23"/>
      <c r="R32" s="23"/>
      <c r="S32" s="23"/>
      <c r="T32" s="23"/>
      <c r="U32" s="23">
        <f>IF(K32&gt;0,AG32/G32,"")</f>
      </c>
      <c r="V32" s="23"/>
      <c r="W32" s="79">
        <f>VLOOKUP("x",Prospekt!B16:AH27,22)</f>
        <v>0</v>
      </c>
      <c r="X32" s="70"/>
      <c r="Y32" s="75"/>
      <c r="Z32" s="23"/>
      <c r="AA32" s="29"/>
      <c r="AB32" s="29"/>
      <c r="AC32" s="29"/>
      <c r="AD32" s="29"/>
      <c r="AE32" s="23"/>
      <c r="AF32" s="23"/>
      <c r="AG32" s="23"/>
      <c r="AH32" s="23"/>
    </row>
    <row r="33" spans="3:34" ht="12">
      <c r="C33" s="3" t="s">
        <v>173</v>
      </c>
      <c r="D33" s="3"/>
      <c r="E33" s="3"/>
      <c r="F33" s="3"/>
      <c r="N33" s="23"/>
      <c r="O33" s="23"/>
      <c r="P33" s="23"/>
      <c r="Q33" s="23"/>
      <c r="R33" s="23"/>
      <c r="S33" s="23"/>
      <c r="T33" s="23"/>
      <c r="U33" s="23">
        <f>IF(K33&gt;0,AG33/G33,"")</f>
      </c>
      <c r="V33" s="23"/>
      <c r="W33" s="23"/>
      <c r="X33" s="70"/>
      <c r="Y33" s="75"/>
      <c r="Z33" s="23"/>
      <c r="AA33" s="29"/>
      <c r="AB33" s="29"/>
      <c r="AC33" s="29"/>
      <c r="AD33" s="29"/>
      <c r="AE33" s="23"/>
      <c r="AF33" s="23"/>
      <c r="AG33" s="23"/>
      <c r="AH33" s="23"/>
    </row>
    <row r="34" spans="3:34" ht="12">
      <c r="C34" s="16"/>
      <c r="D34" s="16"/>
      <c r="E34" s="16"/>
      <c r="F34" s="16"/>
      <c r="G34" s="16"/>
      <c r="H34" s="17"/>
      <c r="I34" s="17"/>
      <c r="J34" s="17"/>
      <c r="K34" s="17"/>
      <c r="L34" s="16"/>
      <c r="M34" s="16"/>
      <c r="N34" s="27"/>
      <c r="O34" s="27"/>
      <c r="P34" s="27"/>
      <c r="Q34" s="27"/>
      <c r="R34" s="27"/>
      <c r="S34" s="27"/>
      <c r="T34" s="27"/>
      <c r="U34" s="27">
        <f>IF(K34&gt;0,AG34/G34,"")</f>
      </c>
      <c r="V34" s="27"/>
      <c r="W34" s="27"/>
      <c r="X34" s="78"/>
      <c r="Y34" s="76"/>
      <c r="Z34" s="27"/>
      <c r="AA34" s="28"/>
      <c r="AB34" s="28"/>
      <c r="AC34" s="28"/>
      <c r="AD34" s="28"/>
      <c r="AE34" s="27"/>
      <c r="AF34" s="27"/>
      <c r="AG34" s="27"/>
      <c r="AH34" s="27"/>
    </row>
    <row r="35" spans="3:35" ht="12">
      <c r="C35" s="146"/>
      <c r="D35" s="144"/>
      <c r="E35" s="148"/>
      <c r="F35" s="24"/>
      <c r="G35" s="24"/>
      <c r="H35" s="25"/>
      <c r="I35" s="25"/>
      <c r="J35" s="25"/>
      <c r="K35" s="26"/>
      <c r="L35" s="23">
        <f>IF(K35&gt;0,AG35+H35+$N$8,"")</f>
      </c>
      <c r="M35" s="13">
        <f>IF(K35&gt;0,AH35+H35,"")</f>
      </c>
      <c r="N35" s="23">
        <f>IF(K35&gt;0,K35/G35,"")</f>
      </c>
      <c r="O35" s="23">
        <f>IF(K35&gt;0,H35/G35,"")</f>
      </c>
      <c r="P35" s="23">
        <f>K35*$Q$5</f>
        <v>0</v>
      </c>
      <c r="Q35" s="23">
        <f>P35-$N$7</f>
        <v>-400000</v>
      </c>
      <c r="R35" s="23">
        <f>$M$5*K35</f>
        <v>0</v>
      </c>
      <c r="S35" s="23">
        <f>R35+Q35</f>
        <v>-400000</v>
      </c>
      <c r="T35" s="23">
        <f>IF(Q35&gt;0,R35,S35)</f>
        <v>-400000</v>
      </c>
      <c r="U35" s="23">
        <f>IF(K35&gt;0,AG35/G35,"")</f>
      </c>
      <c r="V35" s="23">
        <f>IF(K35&gt;0,K35*0.1,"")</f>
      </c>
      <c r="W35" s="23">
        <f>IF(K35&gt;0,IF(Q35&gt;0,Q35,0),"")</f>
      </c>
      <c r="X35" s="70" t="e">
        <f>((K35-$N$7)/K35)</f>
        <v>#DIV/0!</v>
      </c>
      <c r="Y35" s="75">
        <f>IF(K35&gt;0,IF(W35&gt;0,X35,""),"")</f>
      </c>
      <c r="Z35" s="23">
        <f>IF(K35&gt;0,IF(T35&gt;0,T35,0),"")</f>
      </c>
      <c r="AA35" s="29">
        <f>$N$5*K35</f>
        <v>0</v>
      </c>
      <c r="AB35" s="29">
        <f>AA35+S35</f>
        <v>-400000</v>
      </c>
      <c r="AC35" s="29">
        <f>IF(K35&gt;0,IF(S35&gt;0,AA35,AB35),"")</f>
      </c>
      <c r="AD35" s="29">
        <f>IF(K35&gt;0,($S$5*W35)/12,"")</f>
      </c>
      <c r="AE35" s="23">
        <f>IF(K35&gt;0,(W35+Z35)*$M$4/12,"")</f>
      </c>
      <c r="AF35" s="23">
        <f>IF(K35&gt;0,AC35*$N$4/12,"")</f>
      </c>
      <c r="AG35" s="23">
        <f>IF(K35&gt;0,AD35+AF35+AE35,"")</f>
      </c>
      <c r="AH35" s="23">
        <f>IF(K35&gt;0,0.7*MIN(AG35,100000)+0.8*MAX(0,AG35-100000),"")</f>
      </c>
      <c r="AI35" s="35"/>
    </row>
    <row r="36" spans="3:35" ht="12">
      <c r="C36" s="146"/>
      <c r="D36" s="144"/>
      <c r="E36" s="148"/>
      <c r="F36" s="24"/>
      <c r="G36" s="24"/>
      <c r="H36" s="25"/>
      <c r="I36" s="25"/>
      <c r="J36" s="25"/>
      <c r="K36" s="26"/>
      <c r="L36" s="23">
        <f aca="true" t="shared" si="23" ref="L36:L46">IF(K36&gt;0,AG36+H36+$N$8,"")</f>
      </c>
      <c r="M36" s="13">
        <f aca="true" t="shared" si="24" ref="M36:M46">IF(K36&gt;0,AH36+H36,"")</f>
      </c>
      <c r="N36" s="23">
        <f aca="true" t="shared" si="25" ref="N36:N46">IF(K36&gt;0,K36/G36,"")</f>
      </c>
      <c r="O36" s="23">
        <f aca="true" t="shared" si="26" ref="O36:O46">IF(K36&gt;0,H36/G36,"")</f>
      </c>
      <c r="P36" s="23">
        <f aca="true" t="shared" si="27" ref="P36:P46">K36*$Q$5</f>
        <v>0</v>
      </c>
      <c r="Q36" s="23">
        <f aca="true" t="shared" si="28" ref="Q36:Q46">P36-$N$7</f>
        <v>-400000</v>
      </c>
      <c r="R36" s="23">
        <f aca="true" t="shared" si="29" ref="R36:R46">$M$5*K36</f>
        <v>0</v>
      </c>
      <c r="S36" s="23">
        <f aca="true" t="shared" si="30" ref="S36:S46">R36+Q36</f>
        <v>-400000</v>
      </c>
      <c r="T36" s="23">
        <f aca="true" t="shared" si="31" ref="T36:T46">IF(Q36&gt;0,R36,S36)</f>
        <v>-400000</v>
      </c>
      <c r="U36" s="23">
        <f aca="true" t="shared" si="32" ref="U36:U46">IF(K36&gt;0,AG36/G36,"")</f>
      </c>
      <c r="V36" s="23">
        <f aca="true" t="shared" si="33" ref="V36:V46">IF(K36&gt;0,K36*0.1,"")</f>
      </c>
      <c r="W36" s="23">
        <f aca="true" t="shared" si="34" ref="W36:W46">IF(K36&gt;0,IF(Q36&gt;0,Q36,0),"")</f>
      </c>
      <c r="X36" s="70" t="e">
        <f aca="true" t="shared" si="35" ref="X36:X46">((K36-$N$7)/K36)</f>
        <v>#DIV/0!</v>
      </c>
      <c r="Y36" s="75">
        <f aca="true" t="shared" si="36" ref="Y36:Y46">IF(K36&gt;0,IF(W36&gt;0,X36,""),"")</f>
      </c>
      <c r="Z36" s="23">
        <f aca="true" t="shared" si="37" ref="Z36:Z46">IF(K36&gt;0,IF(T36&gt;0,T36,0),"")</f>
      </c>
      <c r="AA36" s="29">
        <f aca="true" t="shared" si="38" ref="AA36:AA46">$N$5*K36</f>
        <v>0</v>
      </c>
      <c r="AB36" s="29">
        <f aca="true" t="shared" si="39" ref="AB36:AB46">AA36+S36</f>
        <v>-400000</v>
      </c>
      <c r="AC36" s="29">
        <f aca="true" t="shared" si="40" ref="AC36:AC46">IF(K36&gt;0,IF(S36&gt;0,AA36,AB36),"")</f>
      </c>
      <c r="AD36" s="29">
        <f aca="true" t="shared" si="41" ref="AD36:AD46">IF(K36&gt;0,($S$5*W36)/12,"")</f>
      </c>
      <c r="AE36" s="23">
        <f aca="true" t="shared" si="42" ref="AE36:AE46">IF(K36&gt;0,(W36+Z36)*$M$4/12,"")</f>
      </c>
      <c r="AF36" s="23">
        <f aca="true" t="shared" si="43" ref="AF36:AF46">IF(K36&gt;0,AC36*$N$4/12,"")</f>
      </c>
      <c r="AG36" s="23">
        <f aca="true" t="shared" si="44" ref="AG36:AG46">IF(K36&gt;0,AD36+AF36+AE36,"")</f>
      </c>
      <c r="AH36" s="23">
        <f aca="true" t="shared" si="45" ref="AH36:AH46">IF(K36&gt;0,0.7*MIN(AG36,100000)+0.8*MAX(0,AG36-100000),"")</f>
      </c>
      <c r="AI36" s="33"/>
    </row>
    <row r="37" spans="3:35" ht="12">
      <c r="C37" s="146"/>
      <c r="D37" s="144"/>
      <c r="E37" s="148"/>
      <c r="F37" s="24"/>
      <c r="G37" s="24"/>
      <c r="H37" s="25"/>
      <c r="I37" s="25"/>
      <c r="J37" s="25"/>
      <c r="K37" s="26"/>
      <c r="L37" s="23">
        <f t="shared" si="23"/>
      </c>
      <c r="M37" s="13">
        <f t="shared" si="24"/>
      </c>
      <c r="N37" s="23">
        <f t="shared" si="25"/>
      </c>
      <c r="O37" s="23">
        <f t="shared" si="26"/>
      </c>
      <c r="P37" s="23">
        <f t="shared" si="27"/>
        <v>0</v>
      </c>
      <c r="Q37" s="23">
        <f t="shared" si="28"/>
        <v>-400000</v>
      </c>
      <c r="R37" s="23">
        <f t="shared" si="29"/>
        <v>0</v>
      </c>
      <c r="S37" s="23">
        <f t="shared" si="30"/>
        <v>-400000</v>
      </c>
      <c r="T37" s="23">
        <f t="shared" si="31"/>
        <v>-400000</v>
      </c>
      <c r="U37" s="23">
        <f t="shared" si="32"/>
      </c>
      <c r="V37" s="23">
        <f t="shared" si="33"/>
      </c>
      <c r="W37" s="23">
        <f t="shared" si="34"/>
      </c>
      <c r="X37" s="70" t="e">
        <f t="shared" si="35"/>
        <v>#DIV/0!</v>
      </c>
      <c r="Y37" s="75">
        <f t="shared" si="36"/>
      </c>
      <c r="Z37" s="23">
        <f t="shared" si="37"/>
      </c>
      <c r="AA37" s="29">
        <f t="shared" si="38"/>
        <v>0</v>
      </c>
      <c r="AB37" s="29">
        <f t="shared" si="39"/>
        <v>-400000</v>
      </c>
      <c r="AC37" s="29">
        <f t="shared" si="40"/>
      </c>
      <c r="AD37" s="29">
        <f t="shared" si="41"/>
      </c>
      <c r="AE37" s="23">
        <f t="shared" si="42"/>
      </c>
      <c r="AF37" s="23">
        <f t="shared" si="43"/>
      </c>
      <c r="AG37" s="23">
        <f t="shared" si="44"/>
      </c>
      <c r="AH37" s="23">
        <f t="shared" si="45"/>
      </c>
      <c r="AI37" s="33"/>
    </row>
    <row r="38" spans="3:35" ht="12">
      <c r="C38" s="146"/>
      <c r="D38" s="144"/>
      <c r="E38" s="148"/>
      <c r="F38" s="24"/>
      <c r="G38" s="24"/>
      <c r="H38" s="25"/>
      <c r="I38" s="25"/>
      <c r="J38" s="25"/>
      <c r="K38" s="26"/>
      <c r="L38" s="23">
        <f t="shared" si="23"/>
      </c>
      <c r="M38" s="13">
        <f t="shared" si="24"/>
      </c>
      <c r="N38" s="23">
        <f t="shared" si="25"/>
      </c>
      <c r="O38" s="23">
        <f t="shared" si="26"/>
      </c>
      <c r="P38" s="23">
        <f t="shared" si="27"/>
        <v>0</v>
      </c>
      <c r="Q38" s="23">
        <f t="shared" si="28"/>
        <v>-400000</v>
      </c>
      <c r="R38" s="23">
        <f t="shared" si="29"/>
        <v>0</v>
      </c>
      <c r="S38" s="23">
        <f t="shared" si="30"/>
        <v>-400000</v>
      </c>
      <c r="T38" s="23">
        <f t="shared" si="31"/>
        <v>-400000</v>
      </c>
      <c r="U38" s="23">
        <f t="shared" si="32"/>
      </c>
      <c r="V38" s="23">
        <f t="shared" si="33"/>
      </c>
      <c r="W38" s="23">
        <f t="shared" si="34"/>
      </c>
      <c r="X38" s="70" t="e">
        <f t="shared" si="35"/>
        <v>#DIV/0!</v>
      </c>
      <c r="Y38" s="75">
        <f t="shared" si="36"/>
      </c>
      <c r="Z38" s="23">
        <f t="shared" si="37"/>
      </c>
      <c r="AA38" s="29">
        <f t="shared" si="38"/>
        <v>0</v>
      </c>
      <c r="AB38" s="29">
        <f t="shared" si="39"/>
        <v>-400000</v>
      </c>
      <c r="AC38" s="29">
        <f t="shared" si="40"/>
      </c>
      <c r="AD38" s="29">
        <f t="shared" si="41"/>
      </c>
      <c r="AE38" s="23">
        <f t="shared" si="42"/>
      </c>
      <c r="AF38" s="23">
        <f t="shared" si="43"/>
      </c>
      <c r="AG38" s="23">
        <f t="shared" si="44"/>
      </c>
      <c r="AH38" s="23">
        <f t="shared" si="45"/>
      </c>
      <c r="AI38" s="33"/>
    </row>
    <row r="39" spans="3:35" ht="12">
      <c r="C39" s="146"/>
      <c r="D39" s="144"/>
      <c r="E39" s="148"/>
      <c r="F39" s="24"/>
      <c r="G39" s="24"/>
      <c r="H39" s="25"/>
      <c r="I39" s="25"/>
      <c r="J39" s="25"/>
      <c r="K39" s="26"/>
      <c r="L39" s="23">
        <f t="shared" si="23"/>
      </c>
      <c r="M39" s="13">
        <f t="shared" si="24"/>
      </c>
      <c r="N39" s="23">
        <f t="shared" si="25"/>
      </c>
      <c r="O39" s="23">
        <f t="shared" si="26"/>
      </c>
      <c r="P39" s="23">
        <f t="shared" si="27"/>
        <v>0</v>
      </c>
      <c r="Q39" s="23">
        <f t="shared" si="28"/>
        <v>-400000</v>
      </c>
      <c r="R39" s="23">
        <f t="shared" si="29"/>
        <v>0</v>
      </c>
      <c r="S39" s="23">
        <f t="shared" si="30"/>
        <v>-400000</v>
      </c>
      <c r="T39" s="23">
        <f t="shared" si="31"/>
        <v>-400000</v>
      </c>
      <c r="U39" s="23">
        <f t="shared" si="32"/>
      </c>
      <c r="V39" s="23">
        <f t="shared" si="33"/>
      </c>
      <c r="W39" s="23">
        <f t="shared" si="34"/>
      </c>
      <c r="X39" s="70" t="e">
        <f t="shared" si="35"/>
        <v>#DIV/0!</v>
      </c>
      <c r="Y39" s="75">
        <f t="shared" si="36"/>
      </c>
      <c r="Z39" s="23">
        <f t="shared" si="37"/>
      </c>
      <c r="AA39" s="29">
        <f t="shared" si="38"/>
        <v>0</v>
      </c>
      <c r="AB39" s="29">
        <f t="shared" si="39"/>
        <v>-400000</v>
      </c>
      <c r="AC39" s="29">
        <f t="shared" si="40"/>
      </c>
      <c r="AD39" s="29">
        <f t="shared" si="41"/>
      </c>
      <c r="AE39" s="23">
        <f t="shared" si="42"/>
      </c>
      <c r="AF39" s="23">
        <f t="shared" si="43"/>
      </c>
      <c r="AG39" s="23">
        <f t="shared" si="44"/>
      </c>
      <c r="AH39" s="23">
        <f t="shared" si="45"/>
      </c>
      <c r="AI39" s="33"/>
    </row>
    <row r="40" spans="3:35" ht="12">
      <c r="C40" s="146"/>
      <c r="D40" s="144"/>
      <c r="E40" s="148"/>
      <c r="F40" s="24"/>
      <c r="G40" s="24"/>
      <c r="H40" s="25"/>
      <c r="I40" s="25"/>
      <c r="J40" s="25"/>
      <c r="K40" s="26"/>
      <c r="L40" s="23">
        <f t="shared" si="23"/>
      </c>
      <c r="M40" s="13">
        <f t="shared" si="24"/>
      </c>
      <c r="N40" s="23">
        <f t="shared" si="25"/>
      </c>
      <c r="O40" s="23">
        <f t="shared" si="26"/>
      </c>
      <c r="P40" s="23">
        <f t="shared" si="27"/>
        <v>0</v>
      </c>
      <c r="Q40" s="23">
        <f t="shared" si="28"/>
        <v>-400000</v>
      </c>
      <c r="R40" s="23">
        <f t="shared" si="29"/>
        <v>0</v>
      </c>
      <c r="S40" s="23">
        <f t="shared" si="30"/>
        <v>-400000</v>
      </c>
      <c r="T40" s="23">
        <f t="shared" si="31"/>
        <v>-400000</v>
      </c>
      <c r="U40" s="23">
        <f t="shared" si="32"/>
      </c>
      <c r="V40" s="23">
        <f t="shared" si="33"/>
      </c>
      <c r="W40" s="23">
        <f t="shared" si="34"/>
      </c>
      <c r="X40" s="70" t="e">
        <f t="shared" si="35"/>
        <v>#DIV/0!</v>
      </c>
      <c r="Y40" s="75">
        <f t="shared" si="36"/>
      </c>
      <c r="Z40" s="23">
        <f t="shared" si="37"/>
      </c>
      <c r="AA40" s="29">
        <f t="shared" si="38"/>
        <v>0</v>
      </c>
      <c r="AB40" s="29">
        <f t="shared" si="39"/>
        <v>-400000</v>
      </c>
      <c r="AC40" s="29">
        <f t="shared" si="40"/>
      </c>
      <c r="AD40" s="29">
        <f t="shared" si="41"/>
      </c>
      <c r="AE40" s="23">
        <f t="shared" si="42"/>
      </c>
      <c r="AF40" s="23">
        <f t="shared" si="43"/>
      </c>
      <c r="AG40" s="23">
        <f t="shared" si="44"/>
      </c>
      <c r="AH40" s="23">
        <f t="shared" si="45"/>
      </c>
      <c r="AI40" s="33"/>
    </row>
    <row r="41" spans="3:35" ht="12">
      <c r="C41" s="146"/>
      <c r="D41" s="144"/>
      <c r="E41" s="148"/>
      <c r="F41" s="24"/>
      <c r="G41" s="24"/>
      <c r="H41" s="25"/>
      <c r="I41" s="25"/>
      <c r="J41" s="25"/>
      <c r="K41" s="26"/>
      <c r="L41" s="23">
        <f t="shared" si="23"/>
      </c>
      <c r="M41" s="13">
        <f t="shared" si="24"/>
      </c>
      <c r="N41" s="23">
        <f t="shared" si="25"/>
      </c>
      <c r="O41" s="23">
        <f t="shared" si="26"/>
      </c>
      <c r="P41" s="23">
        <f t="shared" si="27"/>
        <v>0</v>
      </c>
      <c r="Q41" s="23">
        <f t="shared" si="28"/>
        <v>-400000</v>
      </c>
      <c r="R41" s="23">
        <f t="shared" si="29"/>
        <v>0</v>
      </c>
      <c r="S41" s="23">
        <f t="shared" si="30"/>
        <v>-400000</v>
      </c>
      <c r="T41" s="23">
        <f t="shared" si="31"/>
        <v>-400000</v>
      </c>
      <c r="U41" s="23">
        <f t="shared" si="32"/>
      </c>
      <c r="V41" s="23">
        <f t="shared" si="33"/>
      </c>
      <c r="W41" s="23">
        <f t="shared" si="34"/>
      </c>
      <c r="X41" s="70" t="e">
        <f t="shared" si="35"/>
        <v>#DIV/0!</v>
      </c>
      <c r="Y41" s="75">
        <f t="shared" si="36"/>
      </c>
      <c r="Z41" s="23">
        <f t="shared" si="37"/>
      </c>
      <c r="AA41" s="29">
        <f t="shared" si="38"/>
        <v>0</v>
      </c>
      <c r="AB41" s="29">
        <f t="shared" si="39"/>
        <v>-400000</v>
      </c>
      <c r="AC41" s="29">
        <f t="shared" si="40"/>
      </c>
      <c r="AD41" s="29">
        <f t="shared" si="41"/>
      </c>
      <c r="AE41" s="23">
        <f t="shared" si="42"/>
      </c>
      <c r="AF41" s="23">
        <f t="shared" si="43"/>
      </c>
      <c r="AG41" s="23">
        <f t="shared" si="44"/>
      </c>
      <c r="AH41" s="23">
        <f t="shared" si="45"/>
      </c>
      <c r="AI41" s="33"/>
    </row>
    <row r="42" spans="3:35" ht="12">
      <c r="C42" s="146"/>
      <c r="D42" s="144"/>
      <c r="E42" s="148"/>
      <c r="F42" s="24"/>
      <c r="G42" s="24"/>
      <c r="H42" s="25"/>
      <c r="I42" s="25"/>
      <c r="J42" s="25"/>
      <c r="K42" s="26"/>
      <c r="L42" s="23">
        <f t="shared" si="23"/>
      </c>
      <c r="M42" s="13">
        <f t="shared" si="24"/>
      </c>
      <c r="N42" s="23">
        <f t="shared" si="25"/>
      </c>
      <c r="O42" s="23">
        <f t="shared" si="26"/>
      </c>
      <c r="P42" s="23">
        <f t="shared" si="27"/>
        <v>0</v>
      </c>
      <c r="Q42" s="23">
        <f t="shared" si="28"/>
        <v>-400000</v>
      </c>
      <c r="R42" s="23">
        <f t="shared" si="29"/>
        <v>0</v>
      </c>
      <c r="S42" s="23">
        <f t="shared" si="30"/>
        <v>-400000</v>
      </c>
      <c r="T42" s="23">
        <f t="shared" si="31"/>
        <v>-400000</v>
      </c>
      <c r="U42" s="23">
        <f t="shared" si="32"/>
      </c>
      <c r="V42" s="23">
        <f t="shared" si="33"/>
      </c>
      <c r="W42" s="23">
        <f t="shared" si="34"/>
      </c>
      <c r="X42" s="70" t="e">
        <f t="shared" si="35"/>
        <v>#DIV/0!</v>
      </c>
      <c r="Y42" s="75">
        <f t="shared" si="36"/>
      </c>
      <c r="Z42" s="23">
        <f t="shared" si="37"/>
      </c>
      <c r="AA42" s="29">
        <f t="shared" si="38"/>
        <v>0</v>
      </c>
      <c r="AB42" s="29">
        <f t="shared" si="39"/>
        <v>-400000</v>
      </c>
      <c r="AC42" s="29">
        <f t="shared" si="40"/>
      </c>
      <c r="AD42" s="29">
        <f t="shared" si="41"/>
      </c>
      <c r="AE42" s="23">
        <f t="shared" si="42"/>
      </c>
      <c r="AF42" s="23">
        <f t="shared" si="43"/>
      </c>
      <c r="AG42" s="23">
        <f t="shared" si="44"/>
      </c>
      <c r="AH42" s="23">
        <f t="shared" si="45"/>
      </c>
      <c r="AI42" s="33"/>
    </row>
    <row r="43" spans="3:35" ht="12">
      <c r="C43" s="146"/>
      <c r="D43" s="144"/>
      <c r="E43" s="148"/>
      <c r="F43" s="24"/>
      <c r="G43" s="24"/>
      <c r="H43" s="25"/>
      <c r="I43" s="25"/>
      <c r="J43" s="25"/>
      <c r="K43" s="26"/>
      <c r="L43" s="23">
        <f t="shared" si="23"/>
      </c>
      <c r="M43" s="13">
        <f t="shared" si="24"/>
      </c>
      <c r="N43" s="23">
        <f t="shared" si="25"/>
      </c>
      <c r="O43" s="23">
        <f t="shared" si="26"/>
      </c>
      <c r="P43" s="23">
        <f t="shared" si="27"/>
        <v>0</v>
      </c>
      <c r="Q43" s="23">
        <f t="shared" si="28"/>
        <v>-400000</v>
      </c>
      <c r="R43" s="23">
        <f t="shared" si="29"/>
        <v>0</v>
      </c>
      <c r="S43" s="23">
        <f t="shared" si="30"/>
        <v>-400000</v>
      </c>
      <c r="T43" s="23">
        <f t="shared" si="31"/>
        <v>-400000</v>
      </c>
      <c r="U43" s="23">
        <f t="shared" si="32"/>
      </c>
      <c r="V43" s="23">
        <f t="shared" si="33"/>
      </c>
      <c r="W43" s="23">
        <f t="shared" si="34"/>
      </c>
      <c r="X43" s="70" t="e">
        <f t="shared" si="35"/>
        <v>#DIV/0!</v>
      </c>
      <c r="Y43" s="75">
        <f t="shared" si="36"/>
      </c>
      <c r="Z43" s="23">
        <f t="shared" si="37"/>
      </c>
      <c r="AA43" s="29">
        <f t="shared" si="38"/>
        <v>0</v>
      </c>
      <c r="AB43" s="29">
        <f t="shared" si="39"/>
        <v>-400000</v>
      </c>
      <c r="AC43" s="29">
        <f t="shared" si="40"/>
      </c>
      <c r="AD43" s="29">
        <f t="shared" si="41"/>
      </c>
      <c r="AE43" s="23">
        <f t="shared" si="42"/>
      </c>
      <c r="AF43" s="23">
        <f t="shared" si="43"/>
      </c>
      <c r="AG43" s="23">
        <f t="shared" si="44"/>
      </c>
      <c r="AH43" s="23">
        <f t="shared" si="45"/>
      </c>
      <c r="AI43" s="33"/>
    </row>
    <row r="44" spans="3:35" ht="12">
      <c r="C44" s="146"/>
      <c r="D44" s="144"/>
      <c r="E44" s="148"/>
      <c r="F44" s="24"/>
      <c r="G44" s="24"/>
      <c r="H44" s="25"/>
      <c r="I44" s="25"/>
      <c r="J44" s="25"/>
      <c r="K44" s="26"/>
      <c r="L44" s="23">
        <f t="shared" si="23"/>
      </c>
      <c r="M44" s="13">
        <f t="shared" si="24"/>
      </c>
      <c r="N44" s="23">
        <f t="shared" si="25"/>
      </c>
      <c r="O44" s="23">
        <f t="shared" si="26"/>
      </c>
      <c r="P44" s="23">
        <f t="shared" si="27"/>
        <v>0</v>
      </c>
      <c r="Q44" s="23">
        <f t="shared" si="28"/>
        <v>-400000</v>
      </c>
      <c r="R44" s="23">
        <f t="shared" si="29"/>
        <v>0</v>
      </c>
      <c r="S44" s="23">
        <f t="shared" si="30"/>
        <v>-400000</v>
      </c>
      <c r="T44" s="23">
        <f t="shared" si="31"/>
        <v>-400000</v>
      </c>
      <c r="U44" s="23">
        <f t="shared" si="32"/>
      </c>
      <c r="V44" s="23">
        <f t="shared" si="33"/>
      </c>
      <c r="W44" s="23">
        <f t="shared" si="34"/>
      </c>
      <c r="X44" s="70" t="e">
        <f t="shared" si="35"/>
        <v>#DIV/0!</v>
      </c>
      <c r="Y44" s="75">
        <f t="shared" si="36"/>
      </c>
      <c r="Z44" s="23">
        <f t="shared" si="37"/>
      </c>
      <c r="AA44" s="29">
        <f t="shared" si="38"/>
        <v>0</v>
      </c>
      <c r="AB44" s="29">
        <f t="shared" si="39"/>
        <v>-400000</v>
      </c>
      <c r="AC44" s="29">
        <f t="shared" si="40"/>
      </c>
      <c r="AD44" s="29">
        <f t="shared" si="41"/>
      </c>
      <c r="AE44" s="23">
        <f t="shared" si="42"/>
      </c>
      <c r="AF44" s="23">
        <f t="shared" si="43"/>
      </c>
      <c r="AG44" s="23">
        <f t="shared" si="44"/>
      </c>
      <c r="AH44" s="23">
        <f t="shared" si="45"/>
      </c>
      <c r="AI44" s="33"/>
    </row>
    <row r="45" spans="3:35" ht="12">
      <c r="C45" s="146"/>
      <c r="D45" s="144"/>
      <c r="E45" s="148"/>
      <c r="F45" s="24"/>
      <c r="G45" s="24"/>
      <c r="H45" s="25"/>
      <c r="I45" s="25"/>
      <c r="J45" s="25"/>
      <c r="K45" s="26"/>
      <c r="L45" s="23">
        <f t="shared" si="23"/>
      </c>
      <c r="M45" s="13">
        <f t="shared" si="24"/>
      </c>
      <c r="N45" s="23">
        <f t="shared" si="25"/>
      </c>
      <c r="O45" s="23">
        <f t="shared" si="26"/>
      </c>
      <c r="P45" s="23">
        <f t="shared" si="27"/>
        <v>0</v>
      </c>
      <c r="Q45" s="23">
        <f t="shared" si="28"/>
        <v>-400000</v>
      </c>
      <c r="R45" s="23">
        <f t="shared" si="29"/>
        <v>0</v>
      </c>
      <c r="S45" s="23">
        <f t="shared" si="30"/>
        <v>-400000</v>
      </c>
      <c r="T45" s="23">
        <f t="shared" si="31"/>
        <v>-400000</v>
      </c>
      <c r="U45" s="23">
        <f t="shared" si="32"/>
      </c>
      <c r="V45" s="23">
        <f t="shared" si="33"/>
      </c>
      <c r="W45" s="23">
        <f t="shared" si="34"/>
      </c>
      <c r="X45" s="70" t="e">
        <f t="shared" si="35"/>
        <v>#DIV/0!</v>
      </c>
      <c r="Y45" s="75">
        <f t="shared" si="36"/>
      </c>
      <c r="Z45" s="23">
        <f t="shared" si="37"/>
      </c>
      <c r="AA45" s="29">
        <f t="shared" si="38"/>
        <v>0</v>
      </c>
      <c r="AB45" s="29">
        <f t="shared" si="39"/>
        <v>-400000</v>
      </c>
      <c r="AC45" s="29">
        <f t="shared" si="40"/>
      </c>
      <c r="AD45" s="29">
        <f t="shared" si="41"/>
      </c>
      <c r="AE45" s="23">
        <f t="shared" si="42"/>
      </c>
      <c r="AF45" s="23">
        <f t="shared" si="43"/>
      </c>
      <c r="AG45" s="23">
        <f t="shared" si="44"/>
      </c>
      <c r="AH45" s="23">
        <f t="shared" si="45"/>
      </c>
      <c r="AI45" s="33"/>
    </row>
    <row r="46" spans="3:35" ht="12">
      <c r="C46" s="149"/>
      <c r="D46" s="150"/>
      <c r="E46" s="151"/>
      <c r="F46" s="30"/>
      <c r="G46" s="30"/>
      <c r="H46" s="31"/>
      <c r="I46" s="31"/>
      <c r="J46" s="31"/>
      <c r="K46" s="32"/>
      <c r="L46" s="27">
        <f t="shared" si="23"/>
      </c>
      <c r="M46" s="17">
        <f t="shared" si="24"/>
      </c>
      <c r="N46" s="27">
        <f t="shared" si="25"/>
      </c>
      <c r="O46" s="27">
        <f t="shared" si="26"/>
      </c>
      <c r="P46" s="27">
        <f t="shared" si="27"/>
        <v>0</v>
      </c>
      <c r="Q46" s="27">
        <f t="shared" si="28"/>
        <v>-400000</v>
      </c>
      <c r="R46" s="27">
        <f t="shared" si="29"/>
        <v>0</v>
      </c>
      <c r="S46" s="27">
        <f t="shared" si="30"/>
        <v>-400000</v>
      </c>
      <c r="T46" s="27">
        <f t="shared" si="31"/>
        <v>-400000</v>
      </c>
      <c r="U46" s="27">
        <f t="shared" si="32"/>
      </c>
      <c r="V46" s="27">
        <f t="shared" si="33"/>
      </c>
      <c r="W46" s="27">
        <f t="shared" si="34"/>
      </c>
      <c r="X46" s="78" t="e">
        <f t="shared" si="35"/>
        <v>#DIV/0!</v>
      </c>
      <c r="Y46" s="76">
        <f t="shared" si="36"/>
      </c>
      <c r="Z46" s="27">
        <f t="shared" si="37"/>
      </c>
      <c r="AA46" s="28">
        <f t="shared" si="38"/>
        <v>0</v>
      </c>
      <c r="AB46" s="28">
        <f t="shared" si="39"/>
        <v>-400000</v>
      </c>
      <c r="AC46" s="28">
        <f t="shared" si="40"/>
      </c>
      <c r="AD46" s="28">
        <f t="shared" si="41"/>
      </c>
      <c r="AE46" s="27">
        <f t="shared" si="42"/>
      </c>
      <c r="AF46" s="27">
        <f t="shared" si="43"/>
      </c>
      <c r="AG46" s="27">
        <f t="shared" si="44"/>
      </c>
      <c r="AH46" s="27">
        <f t="shared" si="45"/>
      </c>
      <c r="AI46" s="34"/>
    </row>
    <row r="48" ht="12">
      <c r="C48" s="186"/>
    </row>
    <row r="49" ht="12">
      <c r="C49" s="186" t="s">
        <v>215</v>
      </c>
    </row>
  </sheetData>
  <sheetProtection/>
  <hyperlinks>
    <hyperlink ref="E3" r:id="rId1" display="www.boupplysningen.se"/>
    <hyperlink ref="J11" location="'Vad får jag för...'!A1" display="B6. Mitt högsta pris!"/>
    <hyperlink ref="C9" location="'Förklaringar och Vanliga frågor'!A1" display="Förklaringar till kolumnerna hittar du under fliken Förklaringar och Vanliga frågor."/>
    <hyperlink ref="E16" r:id="rId2" display="http://www.hemnet.se/"/>
    <hyperlink ref="E17" r:id="rId3" display="http://www.bovision.se"/>
  </hyperlinks>
  <printOptions/>
  <pageMargins left="0.75" right="0.75" top="1" bottom="1" header="0.5" footer="0.5"/>
  <pageSetup horizontalDpi="200" verticalDpi="200" orientation="portrait" paperSize="9"/>
  <drawing r:id="rId4"/>
</worksheet>
</file>

<file path=xl/worksheets/sheet2.xml><?xml version="1.0" encoding="utf-8"?>
<worksheet xmlns="http://schemas.openxmlformats.org/spreadsheetml/2006/main" xmlns:r="http://schemas.openxmlformats.org/officeDocument/2006/relationships">
  <dimension ref="B2:P63"/>
  <sheetViews>
    <sheetView workbookViewId="0" topLeftCell="A1">
      <selection activeCell="C36" sqref="C36:C37"/>
    </sheetView>
  </sheetViews>
  <sheetFormatPr defaultColWidth="9.140625" defaultRowHeight="12.75"/>
  <cols>
    <col min="1" max="1" width="3.8515625" style="1" customWidth="1"/>
    <col min="2" max="2" width="5.421875" style="1" customWidth="1"/>
    <col min="3" max="3" width="56.8515625" style="1" customWidth="1"/>
    <col min="4" max="4" width="12.421875" style="1" customWidth="1"/>
    <col min="5" max="5" width="3.140625" style="1" customWidth="1"/>
    <col min="6" max="6" width="12.8515625" style="1" customWidth="1"/>
    <col min="7" max="7" width="11.140625" style="1" customWidth="1"/>
    <col min="8" max="8" width="12.421875" style="1" customWidth="1"/>
    <col min="9" max="9" width="11.7109375" style="1" customWidth="1"/>
    <col min="10" max="10" width="2.421875" style="1" customWidth="1"/>
    <col min="11" max="11" width="38.140625" style="1" customWidth="1"/>
    <col min="12" max="16384" width="9.140625" style="1" customWidth="1"/>
  </cols>
  <sheetData>
    <row r="1" ht="12.75"/>
    <row r="2" ht="23.25">
      <c r="D2" s="90" t="s">
        <v>90</v>
      </c>
    </row>
    <row r="3" ht="15" customHeight="1">
      <c r="D3" s="20" t="s">
        <v>128</v>
      </c>
    </row>
    <row r="4" spans="2:4" ht="12.75">
      <c r="B4" s="2"/>
      <c r="D4" s="20" t="s">
        <v>129</v>
      </c>
    </row>
    <row r="5" spans="2:16" ht="12.75">
      <c r="B5" s="83"/>
      <c r="C5" s="83"/>
      <c r="D5" s="83"/>
      <c r="E5" s="83"/>
      <c r="F5" s="83"/>
      <c r="G5" s="83"/>
      <c r="H5" s="83"/>
      <c r="I5" s="83"/>
      <c r="J5" s="83"/>
      <c r="K5" s="80"/>
      <c r="L5" s="83"/>
      <c r="M5" s="83"/>
      <c r="N5" s="83"/>
      <c r="O5" s="83"/>
      <c r="P5" s="83"/>
    </row>
    <row r="6" spans="2:16" ht="12">
      <c r="B6" s="83"/>
      <c r="C6" s="83"/>
      <c r="D6" s="83"/>
      <c r="E6" s="83"/>
      <c r="F6" s="83"/>
      <c r="G6" s="83"/>
      <c r="H6" s="83"/>
      <c r="I6" s="83"/>
      <c r="J6" s="83"/>
      <c r="K6" s="80"/>
      <c r="L6" s="83"/>
      <c r="M6" s="83"/>
      <c r="N6" s="83"/>
      <c r="O6" s="83"/>
      <c r="P6" s="83"/>
    </row>
    <row r="7" spans="2:16" ht="12">
      <c r="B7" s="83"/>
      <c r="C7" s="81" t="s">
        <v>85</v>
      </c>
      <c r="D7" s="88">
        <f>Prospekt!K31</f>
        <v>2000000</v>
      </c>
      <c r="E7" s="83"/>
      <c r="F7" s="87" t="s">
        <v>130</v>
      </c>
      <c r="G7" s="87"/>
      <c r="H7" s="83"/>
      <c r="I7" s="83"/>
      <c r="J7" s="83"/>
      <c r="K7" s="83"/>
      <c r="L7" s="83"/>
      <c r="M7" s="83"/>
      <c r="N7" s="83"/>
      <c r="O7" s="83"/>
      <c r="P7" s="83"/>
    </row>
    <row r="8" spans="2:16" ht="12">
      <c r="B8" s="83"/>
      <c r="C8" s="81" t="s">
        <v>112</v>
      </c>
      <c r="D8" s="88">
        <f>Prospekt!I31+Prospekt!J31</f>
        <v>1650000</v>
      </c>
      <c r="E8" s="83"/>
      <c r="F8" s="87" t="s">
        <v>118</v>
      </c>
      <c r="G8" s="87"/>
      <c r="H8" s="83"/>
      <c r="I8" s="83"/>
      <c r="J8" s="83"/>
      <c r="K8" s="83"/>
      <c r="L8" s="83"/>
      <c r="M8" s="83"/>
      <c r="N8" s="83"/>
      <c r="O8" s="83"/>
      <c r="P8" s="83"/>
    </row>
    <row r="9" spans="2:16" ht="12">
      <c r="B9" s="83"/>
      <c r="C9" s="81" t="s">
        <v>86</v>
      </c>
      <c r="D9" s="88">
        <v>50000</v>
      </c>
      <c r="E9" s="81"/>
      <c r="F9" s="81"/>
      <c r="G9" s="81"/>
      <c r="H9" s="81"/>
      <c r="I9" s="81"/>
      <c r="J9" s="83"/>
      <c r="K9" s="83"/>
      <c r="L9" s="83"/>
      <c r="M9" s="83"/>
      <c r="N9" s="83"/>
      <c r="O9" s="83"/>
      <c r="P9" s="83"/>
    </row>
    <row r="10" spans="2:16" ht="12">
      <c r="B10" s="83"/>
      <c r="C10" s="81" t="s">
        <v>97</v>
      </c>
      <c r="D10" s="82">
        <f>D7-D8+D9</f>
        <v>400000</v>
      </c>
      <c r="E10" s="81"/>
      <c r="F10" s="87" t="s">
        <v>119</v>
      </c>
      <c r="G10" s="87"/>
      <c r="H10" s="81"/>
      <c r="I10" s="81"/>
      <c r="J10" s="83"/>
      <c r="K10" s="83"/>
      <c r="L10" s="83"/>
      <c r="M10" s="83"/>
      <c r="N10" s="83"/>
      <c r="O10" s="83"/>
      <c r="P10" s="83"/>
    </row>
    <row r="11" spans="2:16" ht="12">
      <c r="B11" s="83"/>
      <c r="C11" s="83"/>
      <c r="D11" s="83"/>
      <c r="E11" s="83"/>
      <c r="F11" s="83"/>
      <c r="G11" s="83"/>
      <c r="H11" s="83"/>
      <c r="I11" s="83"/>
      <c r="J11" s="83"/>
      <c r="K11" s="83"/>
      <c r="L11" s="83"/>
      <c r="M11" s="83"/>
      <c r="N11" s="83"/>
      <c r="O11" s="83"/>
      <c r="P11" s="83"/>
    </row>
    <row r="12" spans="2:16" ht="12">
      <c r="B12" s="83"/>
      <c r="C12" s="81" t="s">
        <v>89</v>
      </c>
      <c r="D12" s="89">
        <v>0.06</v>
      </c>
      <c r="E12" s="83"/>
      <c r="F12" s="87" t="s">
        <v>113</v>
      </c>
      <c r="G12" s="87"/>
      <c r="H12" s="83"/>
      <c r="I12" s="83"/>
      <c r="J12" s="83"/>
      <c r="K12" s="83"/>
      <c r="L12" s="83"/>
      <c r="M12" s="83"/>
      <c r="N12" s="83"/>
      <c r="O12" s="83"/>
      <c r="P12" s="83"/>
    </row>
    <row r="13" spans="2:16" ht="12">
      <c r="B13" s="83"/>
      <c r="C13" s="81" t="s">
        <v>87</v>
      </c>
      <c r="D13" s="102">
        <v>8000</v>
      </c>
      <c r="E13" s="83"/>
      <c r="F13" s="87" t="s">
        <v>88</v>
      </c>
      <c r="G13" s="87"/>
      <c r="H13" s="82"/>
      <c r="I13" s="82"/>
      <c r="J13" s="83"/>
      <c r="K13" s="83"/>
      <c r="L13" s="83"/>
      <c r="M13" s="83"/>
      <c r="N13" s="83"/>
      <c r="O13" s="83"/>
      <c r="P13" s="83"/>
    </row>
    <row r="14" spans="2:16" ht="12">
      <c r="B14" s="87" t="s">
        <v>96</v>
      </c>
      <c r="C14" s="81" t="s">
        <v>91</v>
      </c>
      <c r="D14" s="97">
        <v>6000</v>
      </c>
      <c r="E14" s="83"/>
      <c r="F14" s="87" t="s">
        <v>116</v>
      </c>
      <c r="G14" s="87"/>
      <c r="H14" s="83"/>
      <c r="I14" s="83"/>
      <c r="J14" s="83"/>
      <c r="K14" s="83"/>
      <c r="L14" s="83"/>
      <c r="M14" s="83"/>
      <c r="N14" s="83"/>
      <c r="O14" s="83"/>
      <c r="P14" s="83"/>
    </row>
    <row r="15" spans="2:16" ht="12">
      <c r="B15" s="83"/>
      <c r="C15" s="83"/>
      <c r="D15" s="82"/>
      <c r="E15" s="83"/>
      <c r="F15" s="83"/>
      <c r="G15" s="83"/>
      <c r="H15" s="82"/>
      <c r="I15" s="82"/>
      <c r="J15" s="83"/>
      <c r="K15" s="83"/>
      <c r="L15" s="83"/>
      <c r="M15" s="83"/>
      <c r="N15" s="83"/>
      <c r="O15" s="83"/>
      <c r="P15" s="83"/>
    </row>
    <row r="16" spans="2:16" ht="36">
      <c r="B16" s="83"/>
      <c r="C16" s="91"/>
      <c r="D16" s="106" t="s">
        <v>95</v>
      </c>
      <c r="E16" s="94"/>
      <c r="F16" s="105" t="s">
        <v>115</v>
      </c>
      <c r="G16" s="105" t="s">
        <v>120</v>
      </c>
      <c r="H16" s="105" t="s">
        <v>114</v>
      </c>
      <c r="I16" s="107" t="s">
        <v>120</v>
      </c>
      <c r="J16" s="83"/>
      <c r="K16" s="83"/>
      <c r="L16" s="83"/>
      <c r="M16" s="83"/>
      <c r="N16" s="83"/>
      <c r="O16" s="83"/>
      <c r="P16" s="83"/>
    </row>
    <row r="17" spans="2:16" ht="12">
      <c r="B17" s="83"/>
      <c r="C17" s="95" t="s">
        <v>117</v>
      </c>
      <c r="D17" s="108">
        <f>VLOOKUP("x",Prospekt!B16:AH26,7)</f>
        <v>1857</v>
      </c>
      <c r="E17" s="81"/>
      <c r="F17" s="103">
        <f>(($D$13-D17)*12/$D$12)+$D$10</f>
        <v>1628600</v>
      </c>
      <c r="G17" s="103">
        <f>F17-$D$10</f>
        <v>1228600</v>
      </c>
      <c r="H17" s="115">
        <f>(($D$14-D17)*12/(0.7*$D$12))+$D$10</f>
        <v>1583714.285714286</v>
      </c>
      <c r="I17" s="98">
        <f>H17-$D$10</f>
        <v>1183714.285714286</v>
      </c>
      <c r="J17" s="83"/>
      <c r="K17" s="83"/>
      <c r="L17" s="83"/>
      <c r="M17" s="83"/>
      <c r="N17" s="83"/>
      <c r="O17" s="83"/>
      <c r="P17" s="83"/>
    </row>
    <row r="18" spans="2:16" ht="12">
      <c r="B18" s="83"/>
      <c r="C18" s="95" t="s">
        <v>92</v>
      </c>
      <c r="D18" s="92">
        <v>1000</v>
      </c>
      <c r="E18" s="93"/>
      <c r="F18" s="103">
        <f>(($D$13-D18)*12/($D$12)+$D$10)</f>
        <v>1800000</v>
      </c>
      <c r="G18" s="103">
        <f aca="true" t="shared" si="0" ref="G18:G34">F18-$D$10</f>
        <v>1400000</v>
      </c>
      <c r="H18" s="115">
        <f aca="true" t="shared" si="1" ref="H18:H34">(($D$14-D18)*12/(0.7*$D$12))+$D$10</f>
        <v>1828571.4285714286</v>
      </c>
      <c r="I18" s="98">
        <f aca="true" t="shared" si="2" ref="I18:I34">H18-$D$10</f>
        <v>1428571.4285714286</v>
      </c>
      <c r="J18" s="83"/>
      <c r="K18" s="83"/>
      <c r="L18" s="83"/>
      <c r="M18" s="83"/>
      <c r="N18" s="83"/>
      <c r="O18" s="83"/>
      <c r="P18" s="83"/>
    </row>
    <row r="19" spans="2:16" ht="12">
      <c r="B19" s="83"/>
      <c r="C19" s="95" t="s">
        <v>93</v>
      </c>
      <c r="D19" s="92">
        <v>1250</v>
      </c>
      <c r="E19" s="83"/>
      <c r="F19" s="103">
        <f aca="true" t="shared" si="3" ref="F19:F34">(($D$13-D19)*12/($D$12)+$D$10)</f>
        <v>1750000</v>
      </c>
      <c r="G19" s="103">
        <f t="shared" si="0"/>
        <v>1350000</v>
      </c>
      <c r="H19" s="115">
        <f t="shared" si="1"/>
        <v>1757142.8571428573</v>
      </c>
      <c r="I19" s="98">
        <f t="shared" si="2"/>
        <v>1357142.8571428573</v>
      </c>
      <c r="J19" s="83"/>
      <c r="K19" s="83"/>
      <c r="L19" s="83"/>
      <c r="M19" s="83"/>
      <c r="N19" s="83"/>
      <c r="O19" s="83"/>
      <c r="P19" s="83"/>
    </row>
    <row r="20" spans="2:16" ht="12">
      <c r="B20" s="83"/>
      <c r="C20" s="95" t="s">
        <v>94</v>
      </c>
      <c r="D20" s="92">
        <v>1500</v>
      </c>
      <c r="E20" s="83"/>
      <c r="F20" s="103">
        <f t="shared" si="3"/>
        <v>1700000</v>
      </c>
      <c r="G20" s="103">
        <f t="shared" si="0"/>
        <v>1300000</v>
      </c>
      <c r="H20" s="115">
        <f t="shared" si="1"/>
        <v>1685714.285714286</v>
      </c>
      <c r="I20" s="98">
        <f t="shared" si="2"/>
        <v>1285714.285714286</v>
      </c>
      <c r="J20" s="83"/>
      <c r="K20" s="83"/>
      <c r="L20" s="83"/>
      <c r="M20" s="83"/>
      <c r="N20" s="83"/>
      <c r="O20" s="83"/>
      <c r="P20" s="83"/>
    </row>
    <row r="21" spans="2:16" ht="12">
      <c r="B21" s="83"/>
      <c r="C21" s="95" t="s">
        <v>98</v>
      </c>
      <c r="D21" s="92">
        <v>1750</v>
      </c>
      <c r="E21" s="83"/>
      <c r="F21" s="103">
        <f t="shared" si="3"/>
        <v>1650000</v>
      </c>
      <c r="G21" s="103">
        <f t="shared" si="0"/>
        <v>1250000</v>
      </c>
      <c r="H21" s="115">
        <f t="shared" si="1"/>
        <v>1614285.7142857143</v>
      </c>
      <c r="I21" s="98">
        <f t="shared" si="2"/>
        <v>1214285.7142857143</v>
      </c>
      <c r="J21" s="83"/>
      <c r="K21" s="83"/>
      <c r="L21" s="83"/>
      <c r="M21" s="83"/>
      <c r="N21" s="83"/>
      <c r="O21" s="83"/>
      <c r="P21" s="83"/>
    </row>
    <row r="22" spans="2:16" ht="12">
      <c r="B22" s="83"/>
      <c r="C22" s="95" t="s">
        <v>99</v>
      </c>
      <c r="D22" s="92">
        <v>2000</v>
      </c>
      <c r="E22" s="93"/>
      <c r="F22" s="103">
        <f t="shared" si="3"/>
        <v>1600000</v>
      </c>
      <c r="G22" s="103">
        <f t="shared" si="0"/>
        <v>1200000</v>
      </c>
      <c r="H22" s="115">
        <f t="shared" si="1"/>
        <v>1542857.142857143</v>
      </c>
      <c r="I22" s="98">
        <f t="shared" si="2"/>
        <v>1142857.142857143</v>
      </c>
      <c r="J22" s="83"/>
      <c r="K22" s="83"/>
      <c r="L22" s="83"/>
      <c r="M22" s="83"/>
      <c r="N22" s="83"/>
      <c r="O22" s="83"/>
      <c r="P22" s="83"/>
    </row>
    <row r="23" spans="2:16" ht="12">
      <c r="B23" s="83"/>
      <c r="C23" s="95" t="s">
        <v>100</v>
      </c>
      <c r="D23" s="92">
        <v>2250</v>
      </c>
      <c r="E23" s="83"/>
      <c r="F23" s="103">
        <f t="shared" si="3"/>
        <v>1550000</v>
      </c>
      <c r="G23" s="103">
        <f t="shared" si="0"/>
        <v>1150000</v>
      </c>
      <c r="H23" s="115">
        <f t="shared" si="1"/>
        <v>1471428.5714285716</v>
      </c>
      <c r="I23" s="98">
        <f t="shared" si="2"/>
        <v>1071428.5714285716</v>
      </c>
      <c r="J23" s="83"/>
      <c r="K23" s="83"/>
      <c r="L23" s="83"/>
      <c r="M23" s="83"/>
      <c r="N23" s="83"/>
      <c r="O23" s="83"/>
      <c r="P23" s="83"/>
    </row>
    <row r="24" spans="2:16" ht="12">
      <c r="B24" s="83"/>
      <c r="C24" s="95" t="s">
        <v>101</v>
      </c>
      <c r="D24" s="92">
        <v>2500</v>
      </c>
      <c r="E24" s="83"/>
      <c r="F24" s="103">
        <f t="shared" si="3"/>
        <v>1500000</v>
      </c>
      <c r="G24" s="103">
        <f t="shared" si="0"/>
        <v>1100000</v>
      </c>
      <c r="H24" s="115">
        <f t="shared" si="1"/>
        <v>1400000</v>
      </c>
      <c r="I24" s="98">
        <f t="shared" si="2"/>
        <v>1000000</v>
      </c>
      <c r="J24" s="83"/>
      <c r="K24" s="83"/>
      <c r="L24" s="83"/>
      <c r="M24" s="83"/>
      <c r="N24" s="83"/>
      <c r="O24" s="83"/>
      <c r="P24" s="83"/>
    </row>
    <row r="25" spans="2:16" ht="12">
      <c r="B25" s="83"/>
      <c r="C25" s="95" t="s">
        <v>102</v>
      </c>
      <c r="D25" s="92">
        <v>2750</v>
      </c>
      <c r="E25" s="83"/>
      <c r="F25" s="103">
        <f t="shared" si="3"/>
        <v>1450000</v>
      </c>
      <c r="G25" s="103">
        <f t="shared" si="0"/>
        <v>1050000</v>
      </c>
      <c r="H25" s="115">
        <f t="shared" si="1"/>
        <v>1328571.4285714286</v>
      </c>
      <c r="I25" s="98">
        <f t="shared" si="2"/>
        <v>928571.4285714286</v>
      </c>
      <c r="J25" s="83"/>
      <c r="K25" s="83"/>
      <c r="L25" s="83"/>
      <c r="M25" s="83"/>
      <c r="N25" s="83"/>
      <c r="O25" s="83"/>
      <c r="P25" s="83"/>
    </row>
    <row r="26" spans="2:16" ht="12">
      <c r="B26" s="83"/>
      <c r="C26" s="95" t="s">
        <v>103</v>
      </c>
      <c r="D26" s="92">
        <v>3000</v>
      </c>
      <c r="E26" s="93"/>
      <c r="F26" s="103">
        <f t="shared" si="3"/>
        <v>1400000</v>
      </c>
      <c r="G26" s="103">
        <f t="shared" si="0"/>
        <v>1000000</v>
      </c>
      <c r="H26" s="115">
        <f t="shared" si="1"/>
        <v>1257142.8571428573</v>
      </c>
      <c r="I26" s="98">
        <f t="shared" si="2"/>
        <v>857142.8571428573</v>
      </c>
      <c r="J26" s="83"/>
      <c r="K26" s="83"/>
      <c r="L26" s="83"/>
      <c r="M26" s="83"/>
      <c r="N26" s="83"/>
      <c r="O26" s="83"/>
      <c r="P26" s="83"/>
    </row>
    <row r="27" spans="2:16" ht="12">
      <c r="B27" s="83"/>
      <c r="C27" s="95" t="s">
        <v>104</v>
      </c>
      <c r="D27" s="92">
        <v>3250</v>
      </c>
      <c r="E27" s="83"/>
      <c r="F27" s="103">
        <f t="shared" si="3"/>
        <v>1350000</v>
      </c>
      <c r="G27" s="103">
        <f t="shared" si="0"/>
        <v>950000</v>
      </c>
      <c r="H27" s="115">
        <f t="shared" si="1"/>
        <v>1185714.285714286</v>
      </c>
      <c r="I27" s="98">
        <f t="shared" si="2"/>
        <v>785714.2857142859</v>
      </c>
      <c r="J27" s="83"/>
      <c r="K27" s="83"/>
      <c r="L27" s="83"/>
      <c r="M27" s="83"/>
      <c r="N27" s="83"/>
      <c r="O27" s="83"/>
      <c r="P27" s="83"/>
    </row>
    <row r="28" spans="2:16" ht="12">
      <c r="B28" s="83"/>
      <c r="C28" s="95" t="s">
        <v>105</v>
      </c>
      <c r="D28" s="92">
        <v>3500</v>
      </c>
      <c r="E28" s="83"/>
      <c r="F28" s="103">
        <f t="shared" si="3"/>
        <v>1300000</v>
      </c>
      <c r="G28" s="103">
        <f t="shared" si="0"/>
        <v>900000</v>
      </c>
      <c r="H28" s="115">
        <f t="shared" si="1"/>
        <v>1114285.7142857143</v>
      </c>
      <c r="I28" s="98">
        <f t="shared" si="2"/>
        <v>714285.7142857143</v>
      </c>
      <c r="J28" s="83"/>
      <c r="K28" s="83"/>
      <c r="L28" s="83"/>
      <c r="M28" s="83"/>
      <c r="N28" s="83"/>
      <c r="O28" s="83"/>
      <c r="P28" s="83"/>
    </row>
    <row r="29" spans="2:16" ht="12">
      <c r="B29" s="83"/>
      <c r="C29" s="95" t="s">
        <v>106</v>
      </c>
      <c r="D29" s="92">
        <v>3750</v>
      </c>
      <c r="E29" s="83"/>
      <c r="F29" s="103">
        <f t="shared" si="3"/>
        <v>1250000</v>
      </c>
      <c r="G29" s="103">
        <f t="shared" si="0"/>
        <v>850000</v>
      </c>
      <c r="H29" s="115">
        <f t="shared" si="1"/>
        <v>1042857.142857143</v>
      </c>
      <c r="I29" s="98">
        <f t="shared" si="2"/>
        <v>642857.142857143</v>
      </c>
      <c r="J29" s="83"/>
      <c r="K29" s="83"/>
      <c r="L29" s="83"/>
      <c r="M29" s="83"/>
      <c r="N29" s="83"/>
      <c r="O29" s="83"/>
      <c r="P29" s="83"/>
    </row>
    <row r="30" spans="2:16" ht="12">
      <c r="B30" s="83"/>
      <c r="C30" s="95" t="s">
        <v>107</v>
      </c>
      <c r="D30" s="92">
        <v>4000</v>
      </c>
      <c r="E30" s="93"/>
      <c r="F30" s="103">
        <f t="shared" si="3"/>
        <v>1200000</v>
      </c>
      <c r="G30" s="103">
        <f t="shared" si="0"/>
        <v>800000</v>
      </c>
      <c r="H30" s="115">
        <f t="shared" si="1"/>
        <v>971428.5714285715</v>
      </c>
      <c r="I30" s="98">
        <f t="shared" si="2"/>
        <v>571428.5714285715</v>
      </c>
      <c r="J30" s="83"/>
      <c r="K30" s="83"/>
      <c r="L30" s="83"/>
      <c r="M30" s="83"/>
      <c r="N30" s="83"/>
      <c r="O30" s="83"/>
      <c r="P30" s="83"/>
    </row>
    <row r="31" spans="2:16" ht="12">
      <c r="B31" s="83"/>
      <c r="C31" s="95" t="s">
        <v>108</v>
      </c>
      <c r="D31" s="92">
        <v>4250</v>
      </c>
      <c r="E31" s="83"/>
      <c r="F31" s="103">
        <f t="shared" si="3"/>
        <v>1150000</v>
      </c>
      <c r="G31" s="103">
        <f t="shared" si="0"/>
        <v>750000</v>
      </c>
      <c r="H31" s="115">
        <f t="shared" si="1"/>
        <v>900000</v>
      </c>
      <c r="I31" s="98">
        <f t="shared" si="2"/>
        <v>500000</v>
      </c>
      <c r="J31" s="83"/>
      <c r="K31" s="83"/>
      <c r="L31" s="83"/>
      <c r="M31" s="83"/>
      <c r="N31" s="83"/>
      <c r="O31" s="83"/>
      <c r="P31" s="83"/>
    </row>
    <row r="32" spans="2:16" ht="12">
      <c r="B32" s="83"/>
      <c r="C32" s="95" t="s">
        <v>109</v>
      </c>
      <c r="D32" s="92">
        <v>4500</v>
      </c>
      <c r="E32" s="83"/>
      <c r="F32" s="103">
        <f t="shared" si="3"/>
        <v>1100000</v>
      </c>
      <c r="G32" s="103">
        <f t="shared" si="0"/>
        <v>700000</v>
      </c>
      <c r="H32" s="115">
        <f t="shared" si="1"/>
        <v>828571.4285714286</v>
      </c>
      <c r="I32" s="98">
        <f t="shared" si="2"/>
        <v>428571.42857142864</v>
      </c>
      <c r="J32" s="83"/>
      <c r="K32" s="83"/>
      <c r="L32" s="83"/>
      <c r="M32" s="83"/>
      <c r="N32" s="83"/>
      <c r="O32" s="83"/>
      <c r="P32" s="83"/>
    </row>
    <row r="33" spans="2:16" ht="12">
      <c r="B33" s="83"/>
      <c r="C33" s="95" t="s">
        <v>110</v>
      </c>
      <c r="D33" s="92">
        <v>4750</v>
      </c>
      <c r="E33" s="83"/>
      <c r="F33" s="103">
        <f t="shared" si="3"/>
        <v>1050000</v>
      </c>
      <c r="G33" s="103">
        <f t="shared" si="0"/>
        <v>650000</v>
      </c>
      <c r="H33" s="115">
        <f t="shared" si="1"/>
        <v>757142.8571428572</v>
      </c>
      <c r="I33" s="98">
        <f t="shared" si="2"/>
        <v>357142.85714285716</v>
      </c>
      <c r="J33" s="83"/>
      <c r="K33" s="83"/>
      <c r="L33" s="83"/>
      <c r="M33" s="83"/>
      <c r="N33" s="83"/>
      <c r="O33" s="83"/>
      <c r="P33" s="83"/>
    </row>
    <row r="34" spans="2:16" ht="12">
      <c r="B34" s="83"/>
      <c r="C34" s="96" t="s">
        <v>111</v>
      </c>
      <c r="D34" s="100">
        <v>5000</v>
      </c>
      <c r="E34" s="99"/>
      <c r="F34" s="104">
        <f t="shared" si="3"/>
        <v>1000000</v>
      </c>
      <c r="G34" s="104">
        <f t="shared" si="0"/>
        <v>600000</v>
      </c>
      <c r="H34" s="116">
        <f t="shared" si="1"/>
        <v>685714.2857142857</v>
      </c>
      <c r="I34" s="101">
        <f t="shared" si="2"/>
        <v>285714.2857142857</v>
      </c>
      <c r="J34" s="83"/>
      <c r="K34" s="83"/>
      <c r="L34" s="83"/>
      <c r="M34" s="83"/>
      <c r="N34" s="83"/>
      <c r="O34" s="83"/>
      <c r="P34" s="83"/>
    </row>
    <row r="35" spans="2:16" ht="12">
      <c r="B35" s="83"/>
      <c r="C35" s="83"/>
      <c r="D35" s="83"/>
      <c r="E35" s="83"/>
      <c r="F35" s="83"/>
      <c r="G35" s="83"/>
      <c r="H35" s="83"/>
      <c r="I35" s="83"/>
      <c r="J35" s="83"/>
      <c r="K35" s="83"/>
      <c r="L35" s="83"/>
      <c r="M35" s="83"/>
      <c r="N35" s="83"/>
      <c r="O35" s="83"/>
      <c r="P35" s="83"/>
    </row>
    <row r="36" spans="2:16" ht="12">
      <c r="B36" s="83"/>
      <c r="C36" s="186" t="s">
        <v>214</v>
      </c>
      <c r="D36" s="83"/>
      <c r="E36" s="83"/>
      <c r="F36" s="83"/>
      <c r="G36" s="83"/>
      <c r="H36" s="82"/>
      <c r="I36" s="82"/>
      <c r="J36" s="83"/>
      <c r="K36" s="83"/>
      <c r="L36" s="83"/>
      <c r="M36" s="83"/>
      <c r="N36" s="83"/>
      <c r="O36" s="83"/>
      <c r="P36" s="83"/>
    </row>
    <row r="37" spans="2:16" ht="12">
      <c r="B37" s="83"/>
      <c r="C37" s="186" t="s">
        <v>215</v>
      </c>
      <c r="D37" s="83"/>
      <c r="E37" s="83"/>
      <c r="F37" s="83"/>
      <c r="G37" s="83"/>
      <c r="H37" s="82"/>
      <c r="I37" s="82"/>
      <c r="J37" s="83"/>
      <c r="K37" s="83"/>
      <c r="L37" s="83"/>
      <c r="M37" s="83"/>
      <c r="N37" s="83"/>
      <c r="O37" s="83"/>
      <c r="P37" s="83"/>
    </row>
    <row r="38" spans="2:16" ht="12">
      <c r="B38" s="83"/>
      <c r="C38" s="83"/>
      <c r="D38" s="83"/>
      <c r="E38" s="83"/>
      <c r="F38" s="83"/>
      <c r="G38" s="83"/>
      <c r="H38" s="82"/>
      <c r="I38" s="82"/>
      <c r="J38" s="83"/>
      <c r="K38" s="83"/>
      <c r="L38" s="83"/>
      <c r="M38" s="83"/>
      <c r="N38" s="83"/>
      <c r="O38" s="83"/>
      <c r="P38" s="83"/>
    </row>
    <row r="39" spans="2:16" ht="12">
      <c r="B39" s="83"/>
      <c r="C39" s="83"/>
      <c r="D39" s="83"/>
      <c r="E39" s="83"/>
      <c r="F39" s="83"/>
      <c r="G39" s="83"/>
      <c r="H39" s="82"/>
      <c r="I39" s="82"/>
      <c r="J39" s="83"/>
      <c r="K39" s="83"/>
      <c r="L39" s="83"/>
      <c r="M39" s="83"/>
      <c r="N39" s="83"/>
      <c r="O39" s="83"/>
      <c r="P39" s="83"/>
    </row>
    <row r="40" spans="2:16" ht="12">
      <c r="B40" s="83"/>
      <c r="C40" s="81"/>
      <c r="D40" s="82"/>
      <c r="E40" s="83"/>
      <c r="F40" s="81"/>
      <c r="G40" s="81"/>
      <c r="H40" s="82"/>
      <c r="I40" s="82"/>
      <c r="J40" s="83"/>
      <c r="K40" s="83"/>
      <c r="L40" s="83"/>
      <c r="M40" s="83"/>
      <c r="N40" s="83"/>
      <c r="O40" s="83"/>
      <c r="P40" s="83"/>
    </row>
    <row r="41" spans="2:16" ht="12">
      <c r="B41" s="83"/>
      <c r="C41" s="83"/>
      <c r="D41" s="83"/>
      <c r="E41" s="83"/>
      <c r="F41" s="83"/>
      <c r="G41" s="83"/>
      <c r="H41" s="83"/>
      <c r="I41" s="83"/>
      <c r="J41" s="83"/>
      <c r="K41" s="83"/>
      <c r="L41" s="83"/>
      <c r="M41" s="83"/>
      <c r="N41" s="83"/>
      <c r="O41" s="83"/>
      <c r="P41" s="83"/>
    </row>
    <row r="42" spans="2:16" ht="12">
      <c r="B42" s="83"/>
      <c r="C42" s="83"/>
      <c r="D42" s="83"/>
      <c r="E42" s="83"/>
      <c r="F42" s="83"/>
      <c r="G42" s="83"/>
      <c r="H42" s="83"/>
      <c r="I42" s="83"/>
      <c r="J42" s="83"/>
      <c r="K42" s="83"/>
      <c r="L42" s="83"/>
      <c r="M42" s="83"/>
      <c r="N42" s="83"/>
      <c r="O42" s="83"/>
      <c r="P42" s="83"/>
    </row>
    <row r="43" spans="2:16" ht="12">
      <c r="B43" s="83"/>
      <c r="C43" s="83"/>
      <c r="D43" s="83"/>
      <c r="E43" s="83"/>
      <c r="F43" s="83"/>
      <c r="G43" s="83"/>
      <c r="H43" s="83"/>
      <c r="I43" s="83"/>
      <c r="J43" s="83"/>
      <c r="K43" s="83"/>
      <c r="L43" s="83"/>
      <c r="M43" s="83"/>
      <c r="N43" s="83"/>
      <c r="O43" s="83"/>
      <c r="P43" s="83"/>
    </row>
    <row r="44" spans="2:16" ht="12">
      <c r="B44" s="83"/>
      <c r="C44" s="83"/>
      <c r="D44" s="83"/>
      <c r="E44" s="83"/>
      <c r="F44" s="83"/>
      <c r="G44" s="83"/>
      <c r="H44" s="83"/>
      <c r="I44" s="83"/>
      <c r="J44" s="83"/>
      <c r="K44" s="83"/>
      <c r="L44" s="83"/>
      <c r="M44" s="83"/>
      <c r="N44" s="83"/>
      <c r="O44" s="83"/>
      <c r="P44" s="83"/>
    </row>
    <row r="45" spans="2:16" ht="12">
      <c r="B45" s="83"/>
      <c r="C45" s="81"/>
      <c r="D45" s="84"/>
      <c r="E45" s="83"/>
      <c r="F45" s="83"/>
      <c r="G45" s="83"/>
      <c r="H45" s="83"/>
      <c r="I45" s="83"/>
      <c r="J45" s="83"/>
      <c r="K45" s="83"/>
      <c r="L45" s="83"/>
      <c r="M45" s="83"/>
      <c r="N45" s="83"/>
      <c r="O45" s="83"/>
      <c r="P45" s="83"/>
    </row>
    <row r="46" spans="2:16" ht="12">
      <c r="B46" s="83"/>
      <c r="C46" s="83"/>
      <c r="D46" s="83"/>
      <c r="E46" s="83"/>
      <c r="F46" s="83"/>
      <c r="G46" s="83"/>
      <c r="H46" s="83"/>
      <c r="I46" s="83"/>
      <c r="J46" s="83"/>
      <c r="K46" s="83"/>
      <c r="L46" s="83"/>
      <c r="M46" s="83"/>
      <c r="N46" s="83"/>
      <c r="O46" s="83"/>
      <c r="P46" s="83"/>
    </row>
    <row r="47" spans="2:16" ht="12">
      <c r="B47" s="83"/>
      <c r="C47" s="81"/>
      <c r="D47" s="84"/>
      <c r="E47" s="83"/>
      <c r="F47" s="83"/>
      <c r="G47" s="83"/>
      <c r="H47" s="83"/>
      <c r="I47" s="83"/>
      <c r="J47" s="83"/>
      <c r="K47" s="83"/>
      <c r="L47" s="83"/>
      <c r="M47" s="83"/>
      <c r="N47" s="83"/>
      <c r="O47" s="83"/>
      <c r="P47" s="83"/>
    </row>
    <row r="48" spans="2:16" ht="12">
      <c r="B48" s="83"/>
      <c r="C48" s="81"/>
      <c r="D48" s="84"/>
      <c r="E48" s="83"/>
      <c r="F48" s="83"/>
      <c r="G48" s="83"/>
      <c r="H48" s="83"/>
      <c r="I48" s="83"/>
      <c r="J48" s="83"/>
      <c r="K48" s="83"/>
      <c r="L48" s="83"/>
      <c r="M48" s="83"/>
      <c r="N48" s="83"/>
      <c r="O48" s="83"/>
      <c r="P48" s="83"/>
    </row>
    <row r="49" spans="2:16" ht="12">
      <c r="B49" s="83"/>
      <c r="C49" s="85"/>
      <c r="D49" s="86"/>
      <c r="E49" s="83"/>
      <c r="F49" s="83"/>
      <c r="G49" s="83"/>
      <c r="H49" s="83"/>
      <c r="I49" s="83"/>
      <c r="J49" s="83"/>
      <c r="K49" s="83"/>
      <c r="L49" s="83"/>
      <c r="M49" s="83"/>
      <c r="N49" s="83"/>
      <c r="O49" s="83"/>
      <c r="P49" s="83"/>
    </row>
    <row r="50" spans="2:16" ht="12">
      <c r="B50" s="83"/>
      <c r="C50" s="85"/>
      <c r="D50" s="86"/>
      <c r="E50" s="83"/>
      <c r="F50" s="83"/>
      <c r="G50" s="83"/>
      <c r="H50" s="83"/>
      <c r="I50" s="83"/>
      <c r="J50" s="83"/>
      <c r="K50" s="83"/>
      <c r="L50" s="83"/>
      <c r="M50" s="83"/>
      <c r="N50" s="83"/>
      <c r="O50" s="83"/>
      <c r="P50" s="83"/>
    </row>
    <row r="51" spans="2:16" ht="12">
      <c r="B51" s="83"/>
      <c r="C51" s="83"/>
      <c r="D51" s="83"/>
      <c r="E51" s="83"/>
      <c r="F51" s="83"/>
      <c r="G51" s="83"/>
      <c r="H51" s="83"/>
      <c r="I51" s="83"/>
      <c r="J51" s="83"/>
      <c r="K51" s="83"/>
      <c r="L51" s="83"/>
      <c r="M51" s="83"/>
      <c r="N51" s="83"/>
      <c r="O51" s="83"/>
      <c r="P51" s="83"/>
    </row>
    <row r="52" spans="2:16" ht="12">
      <c r="B52" s="83"/>
      <c r="C52" s="83"/>
      <c r="D52" s="83"/>
      <c r="E52" s="83"/>
      <c r="F52" s="83"/>
      <c r="G52" s="83"/>
      <c r="H52" s="83"/>
      <c r="I52" s="83"/>
      <c r="J52" s="83"/>
      <c r="K52" s="83"/>
      <c r="L52" s="83"/>
      <c r="M52" s="83"/>
      <c r="N52" s="83"/>
      <c r="O52" s="83"/>
      <c r="P52" s="83"/>
    </row>
    <row r="53" spans="2:16" ht="12">
      <c r="B53" s="83"/>
      <c r="C53" s="83"/>
      <c r="D53" s="83"/>
      <c r="E53" s="83"/>
      <c r="F53" s="83"/>
      <c r="G53" s="83"/>
      <c r="H53" s="83"/>
      <c r="I53" s="83"/>
      <c r="J53" s="83"/>
      <c r="K53" s="83"/>
      <c r="L53" s="83"/>
      <c r="M53" s="83"/>
      <c r="N53" s="83"/>
      <c r="O53" s="83"/>
      <c r="P53" s="83"/>
    </row>
    <row r="54" spans="2:16" ht="12">
      <c r="B54" s="83"/>
      <c r="C54" s="83"/>
      <c r="D54" s="83"/>
      <c r="E54" s="83"/>
      <c r="F54" s="83"/>
      <c r="G54" s="83"/>
      <c r="H54" s="83"/>
      <c r="I54" s="83"/>
      <c r="J54" s="83"/>
      <c r="K54" s="83"/>
      <c r="L54" s="83"/>
      <c r="M54" s="83"/>
      <c r="N54" s="83"/>
      <c r="O54" s="83"/>
      <c r="P54" s="83"/>
    </row>
    <row r="55" spans="2:16" ht="12">
      <c r="B55" s="83"/>
      <c r="C55" s="83"/>
      <c r="D55" s="83"/>
      <c r="E55" s="83"/>
      <c r="F55" s="83"/>
      <c r="G55" s="83"/>
      <c r="H55" s="83"/>
      <c r="I55" s="83"/>
      <c r="J55" s="83"/>
      <c r="K55" s="83"/>
      <c r="L55" s="83"/>
      <c r="M55" s="83"/>
      <c r="N55" s="83"/>
      <c r="O55" s="83"/>
      <c r="P55" s="83"/>
    </row>
    <row r="56" spans="2:16" ht="12">
      <c r="B56" s="83"/>
      <c r="C56" s="83"/>
      <c r="D56" s="83"/>
      <c r="E56" s="83"/>
      <c r="F56" s="83"/>
      <c r="G56" s="83"/>
      <c r="H56" s="83"/>
      <c r="I56" s="83"/>
      <c r="J56" s="83"/>
      <c r="K56" s="83"/>
      <c r="L56" s="83"/>
      <c r="M56" s="83"/>
      <c r="N56" s="83"/>
      <c r="O56" s="83"/>
      <c r="P56" s="83"/>
    </row>
    <row r="57" spans="2:16" ht="12">
      <c r="B57" s="83"/>
      <c r="C57" s="83"/>
      <c r="D57" s="83"/>
      <c r="E57" s="83"/>
      <c r="F57" s="83"/>
      <c r="G57" s="83"/>
      <c r="H57" s="83"/>
      <c r="I57" s="83"/>
      <c r="J57" s="83"/>
      <c r="K57" s="83"/>
      <c r="L57" s="83"/>
      <c r="M57" s="83"/>
      <c r="N57" s="83"/>
      <c r="O57" s="83"/>
      <c r="P57" s="83"/>
    </row>
    <row r="58" spans="2:16" ht="12">
      <c r="B58" s="83"/>
      <c r="C58" s="83"/>
      <c r="D58" s="83"/>
      <c r="E58" s="83"/>
      <c r="F58" s="83"/>
      <c r="G58" s="83"/>
      <c r="H58" s="83"/>
      <c r="I58" s="83"/>
      <c r="J58" s="83"/>
      <c r="K58" s="83"/>
      <c r="L58" s="83"/>
      <c r="M58" s="83"/>
      <c r="N58" s="83"/>
      <c r="O58" s="83"/>
      <c r="P58" s="83"/>
    </row>
    <row r="59" spans="2:16" ht="12">
      <c r="B59" s="83"/>
      <c r="C59" s="83"/>
      <c r="D59" s="83"/>
      <c r="E59" s="83"/>
      <c r="F59" s="83"/>
      <c r="G59" s="83"/>
      <c r="H59" s="83"/>
      <c r="I59" s="83"/>
      <c r="J59" s="83"/>
      <c r="K59" s="83"/>
      <c r="L59" s="83"/>
      <c r="M59" s="83"/>
      <c r="N59" s="83"/>
      <c r="O59" s="83"/>
      <c r="P59" s="83"/>
    </row>
    <row r="60" spans="2:16" ht="12">
      <c r="B60" s="83"/>
      <c r="C60" s="83"/>
      <c r="D60" s="83"/>
      <c r="E60" s="83"/>
      <c r="F60" s="83"/>
      <c r="G60" s="83"/>
      <c r="H60" s="83"/>
      <c r="I60" s="83"/>
      <c r="J60" s="83"/>
      <c r="K60" s="83"/>
      <c r="L60" s="83"/>
      <c r="M60" s="83"/>
      <c r="N60" s="83"/>
      <c r="O60" s="83"/>
      <c r="P60" s="83"/>
    </row>
    <row r="61" spans="2:16" ht="12">
      <c r="B61" s="83"/>
      <c r="C61" s="83"/>
      <c r="D61" s="83"/>
      <c r="E61" s="83"/>
      <c r="F61" s="83"/>
      <c r="G61" s="83"/>
      <c r="H61" s="83"/>
      <c r="I61" s="83"/>
      <c r="J61" s="83"/>
      <c r="K61" s="83"/>
      <c r="L61" s="83"/>
      <c r="M61" s="83"/>
      <c r="N61" s="83"/>
      <c r="O61" s="83"/>
      <c r="P61" s="83"/>
    </row>
    <row r="62" spans="2:16" ht="12">
      <c r="B62" s="83"/>
      <c r="C62" s="83"/>
      <c r="D62" s="83"/>
      <c r="E62" s="83"/>
      <c r="F62" s="83"/>
      <c r="G62" s="83"/>
      <c r="H62" s="83"/>
      <c r="I62" s="83"/>
      <c r="J62" s="83"/>
      <c r="K62" s="83"/>
      <c r="L62" s="83"/>
      <c r="M62" s="83"/>
      <c r="N62" s="83"/>
      <c r="O62" s="83"/>
      <c r="P62" s="83"/>
    </row>
    <row r="63" spans="2:16" ht="12">
      <c r="B63" s="83"/>
      <c r="C63" s="83"/>
      <c r="D63" s="83"/>
      <c r="E63" s="83"/>
      <c r="F63" s="83"/>
      <c r="G63" s="83"/>
      <c r="H63" s="83"/>
      <c r="I63" s="83"/>
      <c r="J63" s="83"/>
      <c r="K63" s="83"/>
      <c r="L63" s="83"/>
      <c r="M63" s="83"/>
      <c r="N63" s="83"/>
      <c r="O63" s="83"/>
      <c r="P63" s="83"/>
    </row>
  </sheetData>
  <sheetProtection/>
  <printOptions/>
  <pageMargins left="0.7" right="0.7" top="0.75" bottom="0.75" header="0.3" footer="0.3"/>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dimension ref="B2:F59"/>
  <sheetViews>
    <sheetView workbookViewId="0" topLeftCell="A1">
      <selection activeCell="C2" sqref="C2"/>
    </sheetView>
  </sheetViews>
  <sheetFormatPr defaultColWidth="8.8515625" defaultRowHeight="12.75"/>
  <cols>
    <col min="1" max="1" width="1.8515625" style="0" customWidth="1"/>
    <col min="2" max="2" width="26.140625" style="0" customWidth="1"/>
    <col min="3" max="3" width="27.421875" style="0" customWidth="1"/>
    <col min="4" max="4" width="7.00390625" style="0" customWidth="1"/>
    <col min="5" max="5" width="10.28125" style="0" customWidth="1"/>
    <col min="6" max="6" width="11.421875" style="0" bestFit="1" customWidth="1"/>
  </cols>
  <sheetData>
    <row r="2" s="168" customFormat="1" ht="16.5">
      <c r="B2" s="168" t="s">
        <v>204</v>
      </c>
    </row>
    <row r="3" ht="12">
      <c r="B3" s="137" t="s">
        <v>203</v>
      </c>
    </row>
    <row r="4" ht="12">
      <c r="B4" s="137"/>
    </row>
    <row r="5" s="168" customFormat="1" ht="16.5">
      <c r="B5" s="152" t="s">
        <v>177</v>
      </c>
    </row>
    <row r="7" spans="2:6" s="142" customFormat="1" ht="12">
      <c r="B7" s="142" t="s">
        <v>162</v>
      </c>
      <c r="C7" s="142" t="s">
        <v>175</v>
      </c>
      <c r="D7" s="142" t="s">
        <v>176</v>
      </c>
      <c r="E7" s="142" t="s">
        <v>163</v>
      </c>
      <c r="F7" s="142" t="s">
        <v>164</v>
      </c>
    </row>
    <row r="8" spans="2:6" ht="12">
      <c r="B8" s="159" t="str">
        <f>IF(Prospekt!C16="","",Prospekt!C16)</f>
        <v>Testgatan 12</v>
      </c>
      <c r="C8" s="160" t="str">
        <f>IF(Prospekt!D16="","",Prospekt!D16)</f>
        <v>Sön 13.00-13.45</v>
      </c>
      <c r="D8" s="161" t="str">
        <f>IF(Prospekt!F16="","",Prospekt!F16)</f>
        <v>x</v>
      </c>
      <c r="E8" s="162">
        <f>IF(Prospekt!H16="","",Prospekt!H16)</f>
        <v>1857</v>
      </c>
      <c r="F8" s="163">
        <f>IF(Prospekt!I16="","",Prospekt!I16)</f>
        <v>1890000</v>
      </c>
    </row>
    <row r="9" spans="2:6" ht="12">
      <c r="B9" s="153" t="str">
        <f>IF(Prospekt!C17="","",Prospekt!C17)</f>
        <v>Testgränd 16</v>
      </c>
      <c r="C9" s="154" t="str">
        <f>IF(Prospekt!D17="","",Prospekt!D17)</f>
        <v>Potentiellt fynd, sliten</v>
      </c>
      <c r="D9" s="155">
        <f>IF(Prospekt!F17="","",Prospekt!F17)</f>
        <v>6</v>
      </c>
      <c r="E9" s="156">
        <f>IF(Prospekt!H17="","",Prospekt!H17)</f>
        <v>2012</v>
      </c>
      <c r="F9" s="164">
        <f>IF(Prospekt!I17="","",Prospekt!I17)</f>
        <v>1450000</v>
      </c>
    </row>
    <row r="10" spans="2:6" ht="12">
      <c r="B10" s="153">
        <f>IF(Prospekt!C18="","",Prospekt!C18)</f>
      </c>
      <c r="C10" s="154">
        <f>IF(Prospekt!D18="","",Prospekt!D18)</f>
      </c>
      <c r="D10" s="155">
        <f>IF(Prospekt!F18="","",Prospekt!F18)</f>
      </c>
      <c r="E10" s="156">
        <f>IF(Prospekt!H18="","",Prospekt!H18)</f>
      </c>
      <c r="F10" s="164">
        <f>IF(Prospekt!I18="","",Prospekt!I18)</f>
      </c>
    </row>
    <row r="11" spans="2:6" ht="12">
      <c r="B11" s="153">
        <f>IF(Prospekt!C19="","",Prospekt!C19)</f>
      </c>
      <c r="C11" s="154">
        <f>IF(Prospekt!D19="","",Prospekt!D19)</f>
      </c>
      <c r="D11" s="155">
        <f>IF(Prospekt!F19="","",Prospekt!F19)</f>
      </c>
      <c r="E11" s="156">
        <f>IF(Prospekt!H19="","",Prospekt!H19)</f>
      </c>
      <c r="F11" s="164">
        <f>IF(Prospekt!I19="","",Prospekt!I19)</f>
      </c>
    </row>
    <row r="12" spans="2:6" ht="12">
      <c r="B12" s="153">
        <f>IF(Prospekt!C20="","",Prospekt!C20)</f>
      </c>
      <c r="C12" s="154">
        <f>IF(Prospekt!D20="","",Prospekt!D20)</f>
      </c>
      <c r="D12" s="155">
        <f>IF(Prospekt!F20="","",Prospekt!F20)</f>
      </c>
      <c r="E12" s="156">
        <f>IF(Prospekt!H20="","",Prospekt!H20)</f>
      </c>
      <c r="F12" s="164">
        <f>IF(Prospekt!I20="","",Prospekt!I20)</f>
      </c>
    </row>
    <row r="13" spans="2:6" ht="12">
      <c r="B13" s="153">
        <f>IF(Prospekt!C21="","",Prospekt!C21)</f>
      </c>
      <c r="C13" s="154">
        <f>IF(Prospekt!D21="","",Prospekt!D21)</f>
      </c>
      <c r="D13" s="155">
        <f>IF(Prospekt!F21="","",Prospekt!F21)</f>
      </c>
      <c r="E13" s="156">
        <f>IF(Prospekt!H21="","",Prospekt!H21)</f>
      </c>
      <c r="F13" s="164">
        <f>IF(Prospekt!I21="","",Prospekt!I21)</f>
      </c>
    </row>
    <row r="14" spans="2:6" ht="12">
      <c r="B14" s="153">
        <f>IF(Prospekt!C22="","",Prospekt!C22)</f>
      </c>
      <c r="C14" s="154">
        <f>IF(Prospekt!D22="","",Prospekt!D22)</f>
      </c>
      <c r="D14" s="155">
        <f>IF(Prospekt!F22="","",Prospekt!F22)</f>
      </c>
      <c r="E14" s="156">
        <f>IF(Prospekt!H22="","",Prospekt!H22)</f>
      </c>
      <c r="F14" s="164">
        <f>IF(Prospekt!I22="","",Prospekt!I22)</f>
      </c>
    </row>
    <row r="15" spans="2:6" ht="12">
      <c r="B15" s="153">
        <f>IF(Prospekt!C23="","",Prospekt!C23)</f>
      </c>
      <c r="C15" s="154">
        <f>IF(Prospekt!D23="","",Prospekt!D23)</f>
      </c>
      <c r="D15" s="155">
        <f>IF(Prospekt!F23="","",Prospekt!F23)</f>
      </c>
      <c r="E15" s="156">
        <f>IF(Prospekt!H23="","",Prospekt!H23)</f>
      </c>
      <c r="F15" s="164">
        <f>IF(Prospekt!I23="","",Prospekt!I23)</f>
      </c>
    </row>
    <row r="16" spans="2:6" ht="12">
      <c r="B16" s="153">
        <f>IF(Prospekt!C24="","",Prospekt!C24)</f>
      </c>
      <c r="C16" s="154">
        <f>IF(Prospekt!D24="","",Prospekt!D24)</f>
      </c>
      <c r="D16" s="155">
        <f>IF(Prospekt!F24="","",Prospekt!F24)</f>
      </c>
      <c r="E16" s="156">
        <f>IF(Prospekt!H24="","",Prospekt!H24)</f>
      </c>
      <c r="F16" s="164">
        <f>IF(Prospekt!I24="","",Prospekt!I24)</f>
      </c>
    </row>
    <row r="17" spans="2:6" ht="12">
      <c r="B17" s="153">
        <f>IF(Prospekt!C25="","",Prospekt!C25)</f>
      </c>
      <c r="C17" s="154">
        <f>IF(Prospekt!D25="","",Prospekt!D25)</f>
      </c>
      <c r="D17" s="155">
        <f>IF(Prospekt!F25="","",Prospekt!F25)</f>
      </c>
      <c r="E17" s="156">
        <f>IF(Prospekt!H25="","",Prospekt!H25)</f>
      </c>
      <c r="F17" s="164">
        <f>IF(Prospekt!I25="","",Prospekt!I25)</f>
      </c>
    </row>
    <row r="18" spans="2:6" ht="12">
      <c r="B18" s="153">
        <f>IF(Prospekt!C26="","",Prospekt!C26)</f>
      </c>
      <c r="C18" s="154">
        <f>IF(Prospekt!D26="","",Prospekt!D26)</f>
      </c>
      <c r="D18" s="155">
        <f>IF(Prospekt!F26="","",Prospekt!F26)</f>
      </c>
      <c r="E18" s="156">
        <f>IF(Prospekt!H26="","",Prospekt!H26)</f>
      </c>
      <c r="F18" s="164">
        <f>IF(Prospekt!I26="","",Prospekt!I26)</f>
      </c>
    </row>
    <row r="19" spans="2:6" ht="12">
      <c r="B19" s="157">
        <f>IF(Prospekt!C27="","",Prospekt!C27)</f>
      </c>
      <c r="C19" s="166">
        <f>IF(Prospekt!D27="","",Prospekt!D27)</f>
      </c>
      <c r="D19" s="167">
        <f>IF(Prospekt!F27="","",Prospekt!F27)</f>
      </c>
      <c r="E19" s="158">
        <f>IF(Prospekt!H27="","",Prospekt!H27)</f>
      </c>
      <c r="F19" s="165">
        <f>IF(Prospekt!I27="","",Prospekt!I27)</f>
      </c>
    </row>
    <row r="20" ht="12">
      <c r="B20" s="169" t="s">
        <v>198</v>
      </c>
    </row>
    <row r="22" ht="15">
      <c r="B22" s="152" t="s">
        <v>184</v>
      </c>
    </row>
    <row r="23" s="142" customFormat="1" ht="12">
      <c r="B23" s="137" t="s">
        <v>189</v>
      </c>
    </row>
    <row r="24" s="142" customFormat="1" ht="12">
      <c r="B24" s="145" t="s">
        <v>191</v>
      </c>
    </row>
    <row r="25" ht="15">
      <c r="B25" s="152"/>
    </row>
    <row r="26" ht="12">
      <c r="B26" s="145" t="s">
        <v>185</v>
      </c>
    </row>
    <row r="27" ht="12">
      <c r="B27" s="145" t="s">
        <v>188</v>
      </c>
    </row>
    <row r="28" ht="12">
      <c r="B28" s="145" t="s">
        <v>178</v>
      </c>
    </row>
    <row r="29" ht="12">
      <c r="B29" s="145" t="s">
        <v>190</v>
      </c>
    </row>
    <row r="30" ht="12">
      <c r="B30" s="145" t="s">
        <v>187</v>
      </c>
    </row>
    <row r="31" ht="12">
      <c r="B31" s="145" t="s">
        <v>186</v>
      </c>
    </row>
    <row r="32" ht="12">
      <c r="B32" s="145" t="s">
        <v>180</v>
      </c>
    </row>
    <row r="33" ht="12">
      <c r="B33" s="145" t="s">
        <v>181</v>
      </c>
    </row>
    <row r="34" ht="12">
      <c r="B34" s="145" t="s">
        <v>182</v>
      </c>
    </row>
    <row r="35" ht="12">
      <c r="B35" s="145" t="s">
        <v>183</v>
      </c>
    </row>
    <row r="36" ht="12">
      <c r="B36" s="145" t="s">
        <v>192</v>
      </c>
    </row>
    <row r="37" ht="12">
      <c r="B37" s="145" t="s">
        <v>199</v>
      </c>
    </row>
    <row r="38" ht="12">
      <c r="B38" s="145" t="s">
        <v>193</v>
      </c>
    </row>
    <row r="39" ht="12">
      <c r="B39" s="145" t="s">
        <v>179</v>
      </c>
    </row>
    <row r="40" ht="12">
      <c r="B40" s="145" t="s">
        <v>195</v>
      </c>
    </row>
    <row r="41" ht="12">
      <c r="B41" s="145" t="s">
        <v>194</v>
      </c>
    </row>
    <row r="42" ht="12">
      <c r="B42" s="145" t="s">
        <v>196</v>
      </c>
    </row>
    <row r="43" ht="12">
      <c r="B43" s="145" t="s">
        <v>197</v>
      </c>
    </row>
    <row r="45" ht="12">
      <c r="B45" s="142"/>
    </row>
    <row r="46" ht="12">
      <c r="B46" s="145"/>
    </row>
    <row r="47" ht="12">
      <c r="B47" s="145"/>
    </row>
    <row r="48" ht="12">
      <c r="B48" s="145"/>
    </row>
    <row r="49" ht="12">
      <c r="B49" s="145"/>
    </row>
    <row r="50" ht="12">
      <c r="B50" s="145"/>
    </row>
    <row r="51" ht="12">
      <c r="B51" s="145"/>
    </row>
    <row r="52" ht="12">
      <c r="B52" s="145"/>
    </row>
    <row r="53" ht="12">
      <c r="B53" s="145"/>
    </row>
    <row r="54" ht="12">
      <c r="B54" s="145"/>
    </row>
    <row r="55" ht="12">
      <c r="B55" s="145"/>
    </row>
    <row r="56" ht="12">
      <c r="B56" s="145"/>
    </row>
    <row r="57" ht="12">
      <c r="B57" s="145"/>
    </row>
    <row r="58" ht="12">
      <c r="B58" s="145"/>
    </row>
    <row r="59" ht="12">
      <c r="B59" s="145"/>
    </row>
  </sheetData>
  <sheetProtection/>
  <hyperlinks>
    <hyperlink ref="B23" r:id="rId1" display="Checklistan är hämtad från Köpa Bostad-guidens checklista (Kap 4)"/>
    <hyperlink ref="B3" r:id="rId2" display="www.boupplysningen.se"/>
  </hyperlink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4:C66"/>
  <sheetViews>
    <sheetView workbookViewId="0" topLeftCell="A4">
      <selection activeCell="C26" sqref="C26"/>
    </sheetView>
  </sheetViews>
  <sheetFormatPr defaultColWidth="9.140625" defaultRowHeight="12.75"/>
  <cols>
    <col min="1" max="1" width="3.8515625" style="171" customWidth="1"/>
    <col min="2" max="2" width="7.421875" style="171" customWidth="1"/>
    <col min="3" max="3" width="127.140625" style="171" customWidth="1"/>
    <col min="4" max="16384" width="9.140625" style="171" customWidth="1"/>
  </cols>
  <sheetData>
    <row r="1" ht="12.75"/>
    <row r="2" ht="12.75"/>
    <row r="3" ht="15" customHeight="1"/>
    <row r="4" ht="12.75">
      <c r="B4" s="2"/>
    </row>
    <row r="5" ht="12.75"/>
    <row r="6" ht="12.75"/>
    <row r="7" ht="12">
      <c r="C7" s="181" t="s">
        <v>36</v>
      </c>
    </row>
    <row r="8" ht="12">
      <c r="C8" s="180" t="s">
        <v>37</v>
      </c>
    </row>
    <row r="10" spans="2:3" ht="15">
      <c r="B10" s="179" t="s">
        <v>35</v>
      </c>
      <c r="C10" s="179" t="s">
        <v>34</v>
      </c>
    </row>
    <row r="11" ht="12">
      <c r="B11" s="173"/>
    </row>
    <row r="12" spans="2:3" ht="12">
      <c r="B12" s="176" t="s">
        <v>10</v>
      </c>
      <c r="C12" s="175" t="s">
        <v>201</v>
      </c>
    </row>
    <row r="13" spans="2:3" ht="12">
      <c r="B13" s="176" t="s">
        <v>11</v>
      </c>
      <c r="C13" s="175" t="s">
        <v>202</v>
      </c>
    </row>
    <row r="14" spans="2:3" ht="12">
      <c r="B14" s="176" t="s">
        <v>12</v>
      </c>
      <c r="C14" s="177" t="s">
        <v>38</v>
      </c>
    </row>
    <row r="15" spans="2:3" ht="24">
      <c r="B15" s="176" t="s">
        <v>13</v>
      </c>
      <c r="C15" s="177" t="s">
        <v>39</v>
      </c>
    </row>
    <row r="16" spans="2:3" ht="12">
      <c r="B16" s="176"/>
      <c r="C16" s="177"/>
    </row>
    <row r="17" spans="2:3" ht="12">
      <c r="B17" s="176" t="s">
        <v>14</v>
      </c>
      <c r="C17" s="175" t="s">
        <v>159</v>
      </c>
    </row>
    <row r="18" spans="2:3" ht="12">
      <c r="B18" s="176" t="s">
        <v>15</v>
      </c>
      <c r="C18" s="177" t="s">
        <v>40</v>
      </c>
    </row>
    <row r="19" spans="2:3" ht="12">
      <c r="B19" s="176" t="s">
        <v>16</v>
      </c>
      <c r="C19" s="177" t="s">
        <v>134</v>
      </c>
    </row>
    <row r="20" spans="2:3" ht="12">
      <c r="B20" s="176" t="s">
        <v>17</v>
      </c>
      <c r="C20" s="177" t="s">
        <v>135</v>
      </c>
    </row>
    <row r="21" spans="2:3" ht="12">
      <c r="B21" s="176" t="s">
        <v>18</v>
      </c>
      <c r="C21" s="177" t="s">
        <v>41</v>
      </c>
    </row>
    <row r="22" spans="2:3" ht="12">
      <c r="B22" s="176" t="s">
        <v>19</v>
      </c>
      <c r="C22" s="177" t="s">
        <v>50</v>
      </c>
    </row>
    <row r="23" spans="2:3" ht="12">
      <c r="B23" s="176" t="s">
        <v>20</v>
      </c>
      <c r="C23" s="177" t="s">
        <v>51</v>
      </c>
    </row>
    <row r="24" spans="2:3" ht="24">
      <c r="B24" s="176" t="s">
        <v>21</v>
      </c>
      <c r="C24" s="177" t="s">
        <v>52</v>
      </c>
    </row>
    <row r="25" spans="2:3" ht="24">
      <c r="B25" s="176" t="s">
        <v>22</v>
      </c>
      <c r="C25" s="177" t="s">
        <v>53</v>
      </c>
    </row>
    <row r="26" spans="2:3" ht="12">
      <c r="B26" s="176" t="s">
        <v>23</v>
      </c>
      <c r="C26" s="177" t="s">
        <v>62</v>
      </c>
    </row>
    <row r="27" spans="2:3" ht="12">
      <c r="B27" s="176" t="s">
        <v>24</v>
      </c>
      <c r="C27" s="177" t="s">
        <v>145</v>
      </c>
    </row>
    <row r="28" spans="2:3" ht="24">
      <c r="B28" s="176" t="s">
        <v>25</v>
      </c>
      <c r="C28" s="177" t="s">
        <v>54</v>
      </c>
    </row>
    <row r="29" spans="2:3" ht="12">
      <c r="B29" s="176" t="s">
        <v>26</v>
      </c>
      <c r="C29" s="177" t="s">
        <v>55</v>
      </c>
    </row>
    <row r="30" spans="2:3" ht="24">
      <c r="B30" s="176" t="s">
        <v>27</v>
      </c>
      <c r="C30" s="175" t="s">
        <v>161</v>
      </c>
    </row>
    <row r="31" spans="2:3" ht="12">
      <c r="B31" s="176" t="s">
        <v>28</v>
      </c>
      <c r="C31" s="177" t="s">
        <v>75</v>
      </c>
    </row>
    <row r="32" spans="2:3" ht="36">
      <c r="B32" s="176" t="s">
        <v>29</v>
      </c>
      <c r="C32" s="177" t="s">
        <v>80</v>
      </c>
    </row>
    <row r="33" spans="2:3" ht="12">
      <c r="B33" s="176" t="s">
        <v>30</v>
      </c>
      <c r="C33" s="177" t="s">
        <v>56</v>
      </c>
    </row>
    <row r="34" spans="2:3" ht="12">
      <c r="B34" s="176" t="s">
        <v>31</v>
      </c>
      <c r="C34" s="177" t="s">
        <v>57</v>
      </c>
    </row>
    <row r="35" spans="2:3" ht="12">
      <c r="B35" s="176" t="s">
        <v>32</v>
      </c>
      <c r="C35" s="177" t="s">
        <v>82</v>
      </c>
    </row>
    <row r="36" spans="2:3" ht="12">
      <c r="B36" s="176" t="s">
        <v>83</v>
      </c>
      <c r="C36" s="177" t="s">
        <v>81</v>
      </c>
    </row>
    <row r="37" spans="2:3" ht="12">
      <c r="B37" s="176" t="s">
        <v>84</v>
      </c>
      <c r="C37" s="177" t="s">
        <v>58</v>
      </c>
    </row>
    <row r="38" spans="2:3" ht="12">
      <c r="B38" s="176" t="s">
        <v>146</v>
      </c>
      <c r="C38" s="177" t="s">
        <v>60</v>
      </c>
    </row>
    <row r="39" spans="2:3" ht="12">
      <c r="B39" s="176" t="s">
        <v>147</v>
      </c>
      <c r="C39" s="177" t="s">
        <v>61</v>
      </c>
    </row>
    <row r="40" spans="2:3" ht="12">
      <c r="B40" s="176" t="s">
        <v>148</v>
      </c>
      <c r="C40" s="177" t="s">
        <v>59</v>
      </c>
    </row>
    <row r="41" spans="2:3" ht="12">
      <c r="B41" s="178"/>
      <c r="C41" s="177"/>
    </row>
    <row r="42" spans="2:3" ht="12">
      <c r="B42" s="176" t="s">
        <v>42</v>
      </c>
      <c r="C42" s="177" t="s">
        <v>48</v>
      </c>
    </row>
    <row r="43" spans="2:3" ht="12">
      <c r="B43" s="176" t="s">
        <v>43</v>
      </c>
      <c r="C43" s="177" t="s">
        <v>133</v>
      </c>
    </row>
    <row r="44" spans="2:3" ht="24">
      <c r="B44" s="176" t="s">
        <v>132</v>
      </c>
      <c r="C44" s="177" t="s">
        <v>49</v>
      </c>
    </row>
    <row r="45" spans="2:3" ht="12">
      <c r="B45" s="176"/>
      <c r="C45" s="177"/>
    </row>
    <row r="46" ht="12">
      <c r="B46" s="173"/>
    </row>
    <row r="48" ht="15">
      <c r="C48" s="174" t="s">
        <v>69</v>
      </c>
    </row>
    <row r="50" ht="12">
      <c r="C50" s="173" t="s">
        <v>72</v>
      </c>
    </row>
    <row r="52" ht="12">
      <c r="C52" s="171" t="s">
        <v>74</v>
      </c>
    </row>
    <row r="55" ht="12">
      <c r="C55" s="173" t="s">
        <v>70</v>
      </c>
    </row>
    <row r="57" ht="12">
      <c r="C57" s="171" t="s">
        <v>71</v>
      </c>
    </row>
    <row r="60" ht="12">
      <c r="C60" s="173" t="s">
        <v>73</v>
      </c>
    </row>
    <row r="62" ht="12">
      <c r="C62" s="171" t="s">
        <v>205</v>
      </c>
    </row>
    <row r="65" ht="12">
      <c r="B65" s="172" t="s">
        <v>207</v>
      </c>
    </row>
    <row r="66" ht="12">
      <c r="B66" s="172" t="s">
        <v>206</v>
      </c>
    </row>
  </sheetData>
  <sheetProtection/>
  <printOptions/>
  <pageMargins left="0.75" right="0.75" top="1" bottom="1" header="0.5" footer="0.5"/>
  <pageSetup horizontalDpi="200" verticalDpi="200" orientation="portrait" paperSize="9"/>
  <drawing r:id="rId1"/>
</worksheet>
</file>

<file path=xl/worksheets/sheet5.xml><?xml version="1.0" encoding="utf-8"?>
<worksheet xmlns="http://schemas.openxmlformats.org/spreadsheetml/2006/main" xmlns:r="http://schemas.openxmlformats.org/officeDocument/2006/relationships">
  <dimension ref="B4:C29"/>
  <sheetViews>
    <sheetView workbookViewId="0" topLeftCell="A1">
      <selection activeCell="C30" sqref="C30"/>
    </sheetView>
  </sheetViews>
  <sheetFormatPr defaultColWidth="9.140625" defaultRowHeight="12.75"/>
  <cols>
    <col min="1" max="1" width="3.8515625" style="1" customWidth="1"/>
    <col min="2" max="2" width="4.8515625" style="1" customWidth="1"/>
    <col min="3" max="3" width="56.421875" style="1" customWidth="1"/>
    <col min="4" max="16384" width="9.140625" style="1" customWidth="1"/>
  </cols>
  <sheetData>
    <row r="1" ht="12.75"/>
    <row r="2" ht="12.75"/>
    <row r="3" ht="15" customHeight="1"/>
    <row r="4" ht="12.75">
      <c r="B4" s="2"/>
    </row>
    <row r="5" ht="12.75"/>
    <row r="6" ht="12.75"/>
    <row r="7" ht="12">
      <c r="B7" s="3" t="s">
        <v>0</v>
      </c>
    </row>
    <row r="9" ht="36">
      <c r="C9" s="4" t="s">
        <v>208</v>
      </c>
    </row>
    <row r="11" ht="36">
      <c r="C11" s="5" t="s">
        <v>47</v>
      </c>
    </row>
    <row r="13" ht="12">
      <c r="B13" s="3" t="s">
        <v>210</v>
      </c>
    </row>
    <row r="15" ht="36">
      <c r="C15" s="5" t="s">
        <v>209</v>
      </c>
    </row>
    <row r="16" ht="12">
      <c r="C16" s="5"/>
    </row>
    <row r="18" ht="12">
      <c r="B18" s="3" t="s">
        <v>1</v>
      </c>
    </row>
    <row r="20" ht="36">
      <c r="C20" s="5" t="s">
        <v>2</v>
      </c>
    </row>
    <row r="21" ht="12">
      <c r="C21" s="5"/>
    </row>
    <row r="22" ht="36">
      <c r="C22" s="170" t="s">
        <v>211</v>
      </c>
    </row>
    <row r="25" ht="12">
      <c r="B25" s="3" t="s">
        <v>33</v>
      </c>
    </row>
    <row r="27" ht="24">
      <c r="C27" s="5" t="s">
        <v>212</v>
      </c>
    </row>
    <row r="29" ht="36">
      <c r="C29" s="5" t="s">
        <v>213</v>
      </c>
    </row>
  </sheetData>
  <sheetProtection/>
  <printOptions/>
  <pageMargins left="0.75" right="0.75" top="1" bottom="1" header="0.5" footer="0.5"/>
  <pageSetup horizontalDpi="200" verticalDpi="2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FM9FY-TMF7Q-KCKCT-V9T29-TBBBG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Christoffer</dc:creator>
  <cp:keywords/>
  <dc:description/>
  <cp:lastModifiedBy>Christoffer Björkwall</cp:lastModifiedBy>
  <cp:lastPrinted>2010-05-16T06:17:03Z</cp:lastPrinted>
  <dcterms:created xsi:type="dcterms:W3CDTF">2007-07-10T08:59:30Z</dcterms:created>
  <dcterms:modified xsi:type="dcterms:W3CDTF">2014-09-16T08:24:22Z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