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80" windowWidth="17520" windowHeight="10100" tabRatio="919" activeTab="0"/>
  </bookViews>
  <sheets>
    <sheet name="Inställningar" sheetId="1" r:id="rId1"/>
    <sheet name="Prospekt" sheetId="2" r:id="rId2"/>
    <sheet name="Vad får jag för..." sheetId="3" r:id="rId3"/>
    <sheet name="Min ekonomi" sheetId="4" r:id="rId4"/>
    <sheet name="Låneuppgifter" sheetId="5" r:id="rId5"/>
    <sheet name="Skälig hyra" sheetId="6" r:id="rId6"/>
    <sheet name="Jämför" sheetId="7" r:id="rId7"/>
    <sheet name="Skriv ut" sheetId="8" r:id="rId8"/>
    <sheet name="Skapa karta" sheetId="9" r:id="rId9"/>
    <sheet name="Aktuella räntor" sheetId="10" r:id="rId10"/>
    <sheet name="Förklaringar och Vanliga frågor" sheetId="11" r:id="rId11"/>
    <sheet name="Om.." sheetId="12" r:id="rId12"/>
  </sheets>
  <definedNames/>
  <calcPr fullCalcOnLoad="1"/>
</workbook>
</file>

<file path=xl/comments1.xml><?xml version="1.0" encoding="utf-8"?>
<comments xmlns="http://schemas.openxmlformats.org/spreadsheetml/2006/main">
  <authors>
    <author>Christoffer Bj?rkwall</author>
  </authors>
  <commentList>
    <comment ref="F9" authorId="0">
      <text>
        <r>
          <rPr>
            <b/>
            <sz val="9"/>
            <rFont val="Arial"/>
            <family val="0"/>
          </rPr>
          <t>Vad är din nuvarande bostad värd idag ungefär?</t>
        </r>
      </text>
    </comment>
    <comment ref="F15" authorId="0">
      <text>
        <r>
          <rPr>
            <b/>
            <sz val="9"/>
            <rFont val="Arial"/>
            <family val="0"/>
          </rPr>
          <t>För bostadsrätter: Vad är månadsavgiften till bostadsrättsföreningen? För villor, ange 0 här.</t>
        </r>
        <r>
          <rPr>
            <sz val="9"/>
            <rFont val="Arial"/>
            <family val="0"/>
          </rPr>
          <t xml:space="preserve">
</t>
        </r>
      </text>
    </comment>
    <comment ref="F22" authorId="0">
      <text>
        <r>
          <rPr>
            <sz val="9"/>
            <rFont val="Arial"/>
            <family val="0"/>
          </rPr>
          <t xml:space="preserve">Hur mycket (kontant) har du möjlighet att avsätta som kontantinsats på nästa bostad?
</t>
        </r>
      </text>
    </comment>
    <comment ref="F10" authorId="0">
      <text>
        <r>
          <rPr>
            <b/>
            <sz val="9"/>
            <rFont val="Arial"/>
            <family val="0"/>
          </rPr>
          <t>Vad skulle det kosta i mäklararvode att sälja bostaden? 2.5% av marknadsvärdet angivet som default.</t>
        </r>
      </text>
    </comment>
    <comment ref="F8" authorId="0">
      <text>
        <r>
          <rPr>
            <b/>
            <sz val="9"/>
            <rFont val="Arial"/>
            <family val="0"/>
          </rPr>
          <t>Är din nuvarande bostad en villa eller lägenhet? Ange V om det är en villa och L om det är en lägenhet i rutan till höger.</t>
        </r>
      </text>
    </comment>
  </commentList>
</comments>
</file>

<file path=xl/comments2.xml><?xml version="1.0" encoding="utf-8"?>
<comments xmlns="http://schemas.openxmlformats.org/spreadsheetml/2006/main">
  <authors>
    <author>Christoffer Bj?rkwall</author>
  </authors>
  <commentList>
    <comment ref="R7" authorId="0">
      <text>
        <r>
          <rPr>
            <b/>
            <sz val="9"/>
            <rFont val="Arial"/>
            <family val="0"/>
          </rPr>
          <t>Värdet hämtas från fliken  "Inställningar"</t>
        </r>
      </text>
    </comment>
    <comment ref="AG31" authorId="0">
      <text>
        <r>
          <rPr>
            <b/>
            <sz val="9"/>
            <rFont val="Arial"/>
            <family val="0"/>
          </rPr>
          <t>Hämtas från fliken "Inställningar"</t>
        </r>
      </text>
    </comment>
    <comment ref="AD31" authorId="0">
      <text>
        <r>
          <rPr>
            <b/>
            <sz val="9"/>
            <rFont val="Arial"/>
            <family val="0"/>
          </rPr>
          <t>Hämtas från fliken "Inställningar"</t>
        </r>
      </text>
    </comment>
    <comment ref="N31" authorId="0">
      <text>
        <r>
          <rPr>
            <b/>
            <sz val="9"/>
            <rFont val="Arial"/>
            <family val="0"/>
          </rPr>
          <t>Hämtas från fliken "Inställningar"</t>
        </r>
      </text>
    </comment>
    <comment ref="I31" authorId="0">
      <text>
        <r>
          <rPr>
            <b/>
            <sz val="9"/>
            <rFont val="Arial"/>
            <family val="0"/>
          </rPr>
          <t>Hämtas från fliken "Inställningar"</t>
        </r>
      </text>
    </comment>
    <comment ref="H31" authorId="0">
      <text>
        <r>
          <rPr>
            <b/>
            <sz val="9"/>
            <rFont val="Arial"/>
            <family val="0"/>
          </rPr>
          <t>Hämtas från fliken "Inställningar"</t>
        </r>
      </text>
    </comment>
    <comment ref="J31" authorId="0">
      <text>
        <r>
          <rPr>
            <b/>
            <sz val="9"/>
            <rFont val="Arial"/>
            <family val="0"/>
          </rPr>
          <t>Hämtas från fliken "Inställningar"</t>
        </r>
        <r>
          <rPr>
            <sz val="9"/>
            <rFont val="Arial"/>
            <family val="0"/>
          </rPr>
          <t xml:space="preserve">
</t>
        </r>
      </text>
    </comment>
    <comment ref="K31" authorId="0">
      <text>
        <r>
          <rPr>
            <b/>
            <sz val="9"/>
            <rFont val="Arial"/>
            <family val="0"/>
          </rPr>
          <t>Hämtas från fliken "Inställningar"</t>
        </r>
      </text>
    </comment>
    <comment ref="D31" authorId="0">
      <text>
        <r>
          <rPr>
            <b/>
            <sz val="9"/>
            <rFont val="Arial"/>
            <family val="0"/>
          </rPr>
          <t>Hämtas från fliken "Inställningar"</t>
        </r>
      </text>
    </comment>
    <comment ref="R8" authorId="0">
      <text>
        <r>
          <rPr>
            <b/>
            <sz val="9"/>
            <rFont val="Arial"/>
            <family val="0"/>
          </rPr>
          <t>Hämtas från fliken "inställningar"</t>
        </r>
      </text>
    </comment>
  </commentList>
</comments>
</file>

<file path=xl/comments3.xml><?xml version="1.0" encoding="utf-8"?>
<comments xmlns="http://schemas.openxmlformats.org/spreadsheetml/2006/main">
  <authors>
    <author>Christoffer Bj?rkwall</author>
  </authors>
  <commentList>
    <comment ref="D8" authorId="0">
      <text>
        <r>
          <rPr>
            <b/>
            <sz val="9"/>
            <rFont val="Arial"/>
            <family val="0"/>
          </rPr>
          <t>Hämtas från fliken "Inställningar"</t>
        </r>
      </text>
    </comment>
    <comment ref="D7" authorId="0">
      <text>
        <r>
          <rPr>
            <b/>
            <sz val="9"/>
            <rFont val="Arial"/>
            <family val="0"/>
          </rPr>
          <t>Hämtas från fliken "Inställningar"</t>
        </r>
      </text>
    </comment>
    <comment ref="D9" authorId="0">
      <text>
        <r>
          <rPr>
            <b/>
            <sz val="9"/>
            <rFont val="Arial"/>
            <family val="0"/>
          </rPr>
          <t>Hämtas från fliken "Inställningar"</t>
        </r>
      </text>
    </comment>
    <comment ref="D17" authorId="0">
      <text>
        <r>
          <rPr>
            <b/>
            <sz val="9"/>
            <rFont val="Arial"/>
            <family val="0"/>
          </rPr>
          <t xml:space="preserve">Om du ska köpa en bostadsrätt, ange då månadsavgiften här. För villor, ange då månadskostnader för drift mm.
</t>
        </r>
        <r>
          <rPr>
            <sz val="9"/>
            <rFont val="Arial"/>
            <family val="0"/>
          </rPr>
          <t xml:space="preserve">
</t>
        </r>
      </text>
    </comment>
  </commentList>
</comments>
</file>

<file path=xl/comments6.xml><?xml version="1.0" encoding="utf-8"?>
<comments xmlns="http://schemas.openxmlformats.org/spreadsheetml/2006/main">
  <authors>
    <author>Christoffer Bj?rkwall</author>
  </authors>
  <commentList>
    <comment ref="E8" authorId="0">
      <text>
        <r>
          <rPr>
            <sz val="9"/>
            <rFont val="Arial"/>
            <family val="0"/>
          </rPr>
          <t xml:space="preserve">Vad är bostaden värd idag?
</t>
        </r>
      </text>
    </comment>
    <comment ref="E9" authorId="0">
      <text>
        <r>
          <rPr>
            <b/>
            <sz val="9"/>
            <rFont val="Arial"/>
            <family val="0"/>
          </rPr>
          <t xml:space="preserve">En svårdefinierad räntesats som baseras på Riksbankens referensränta med ytterligare några procent. Om du inte vet, använd den fördefinierade räntesatsen.
</t>
        </r>
        <r>
          <rPr>
            <sz val="9"/>
            <rFont val="Arial"/>
            <family val="0"/>
          </rPr>
          <t xml:space="preserve">
</t>
        </r>
      </text>
    </comment>
    <comment ref="E10" authorId="0">
      <text>
        <r>
          <rPr>
            <b/>
            <sz val="9"/>
            <rFont val="Arial"/>
            <family val="0"/>
          </rPr>
          <t xml:space="preserve">Driftskostnader för el, bredband, sopor, slitage av möbler etc kan räknas med i hyran. För villor kan relaterade avgifter räknas med här.
</t>
        </r>
      </text>
    </comment>
    <comment ref="E11" authorId="0">
      <text>
        <r>
          <rPr>
            <b/>
            <sz val="9"/>
            <rFont val="Arial"/>
            <family val="0"/>
          </rPr>
          <t xml:space="preserve">Månadsgavgiften till bostadsrättsföreningen
</t>
        </r>
      </text>
    </comment>
    <comment ref="F8" authorId="0">
      <text>
        <r>
          <rPr>
            <b/>
            <sz val="9"/>
            <rFont val="Arial"/>
            <family val="0"/>
          </rPr>
          <t>Hämtas från fliken "Inställningar"</t>
        </r>
      </text>
    </comment>
    <comment ref="F11" authorId="0">
      <text>
        <r>
          <rPr>
            <b/>
            <sz val="9"/>
            <rFont val="Arial"/>
            <family val="0"/>
          </rPr>
          <t>Hämtas från fliken "Inställningar"</t>
        </r>
      </text>
    </comment>
  </commentList>
</comments>
</file>

<file path=xl/sharedStrings.xml><?xml version="1.0" encoding="utf-8"?>
<sst xmlns="http://schemas.openxmlformats.org/spreadsheetml/2006/main" count="525" uniqueCount="458">
  <si>
    <t>Detta dokument</t>
  </si>
  <si>
    <t>Om uträkningarna i dokumentet</t>
  </si>
  <si>
    <t>Det är många saker som spelar in när man ska räkna ut den faktiska kostnaden när man köper en lägenhet. Detta dokument är tänkt att låta dig få en god översikt.</t>
  </si>
  <si>
    <t>Topplån</t>
  </si>
  <si>
    <t>Bottenlån</t>
  </si>
  <si>
    <t>SEB</t>
  </si>
  <si>
    <t>Skandiabanken</t>
  </si>
  <si>
    <t>Handelsbanken</t>
  </si>
  <si>
    <t>Nordea</t>
  </si>
  <si>
    <t>Swedbank</t>
  </si>
  <si>
    <t>Inkomst</t>
  </si>
  <si>
    <t>Totalt fasta utgifter</t>
  </si>
  <si>
    <t>Totala inkomster</t>
  </si>
  <si>
    <t>Vit ruta beräknas och fylls i automatiskt</t>
  </si>
  <si>
    <r>
      <t>Topplån andel</t>
    </r>
    <r>
      <rPr>
        <sz val="10"/>
        <rFont val="Arial"/>
        <family val="0"/>
      </rPr>
      <t xml:space="preserve"> står för hur stor del av lånet som är topplån.</t>
    </r>
  </si>
  <si>
    <r>
      <t>Bottenlån andel</t>
    </r>
    <r>
      <rPr>
        <sz val="10"/>
        <rFont val="Arial"/>
        <family val="0"/>
      </rPr>
      <t xml:space="preserve"> står för hur stor del av lånet som är bottenlån</t>
    </r>
  </si>
  <si>
    <t>Resterande</t>
  </si>
  <si>
    <r>
      <t>Obs!</t>
    </r>
    <r>
      <rPr>
        <sz val="10"/>
        <rFont val="Arial"/>
        <family val="0"/>
      </rPr>
      <t xml:space="preserve"> Denna kalkyl bygger på räntan som du angett under fliken "Prospekt". Du bör också undersöka ditt prospekt med en betydligt högre ränta än nuvarande för att se hur du skulle klara av en uppgång i räntan.</t>
    </r>
  </si>
  <si>
    <t>A1. Ränta</t>
  </si>
  <si>
    <t>A2. Andel</t>
  </si>
  <si>
    <t>A3. Egen insats</t>
  </si>
  <si>
    <t>A1</t>
  </si>
  <si>
    <t>A2</t>
  </si>
  <si>
    <t>A3</t>
  </si>
  <si>
    <t>A4</t>
  </si>
  <si>
    <t>B1</t>
  </si>
  <si>
    <t>B2</t>
  </si>
  <si>
    <t>B3</t>
  </si>
  <si>
    <t>B4</t>
  </si>
  <si>
    <t>B5</t>
  </si>
  <si>
    <t>B6</t>
  </si>
  <si>
    <t>B7</t>
  </si>
  <si>
    <t>B8</t>
  </si>
  <si>
    <t>B9</t>
  </si>
  <si>
    <t>B10</t>
  </si>
  <si>
    <t>B11</t>
  </si>
  <si>
    <t>B12</t>
  </si>
  <si>
    <t>B13</t>
  </si>
  <si>
    <t>B14</t>
  </si>
  <si>
    <t>B15</t>
  </si>
  <si>
    <t>B16</t>
  </si>
  <si>
    <t>B17</t>
  </si>
  <si>
    <t>B18</t>
  </si>
  <si>
    <t>B19</t>
  </si>
  <si>
    <t>Frågor och kommentarer</t>
  </si>
  <si>
    <t>Beskrivning</t>
  </si>
  <si>
    <t>Ämne</t>
  </si>
  <si>
    <t>Gul ruta betyder alltid att du kan fylla i värdet själv</t>
  </si>
  <si>
    <t>Vit ruta betyder alltid att värdet beräknas automatiskt. Du bör inte ändra innehållet i dessa rutor.</t>
  </si>
  <si>
    <t>Egen insats är den kontanta insats du själv kan använda från dina besparingar. Denna bör vara större än handpenningen.</t>
  </si>
  <si>
    <t>Amortering per månad kan man ofta själv styra hur mycket man vill lägga undan. Har man topplån kräver banken oftast att man amorterar, det brukar handla om några hundralappar per månad.</t>
  </si>
  <si>
    <t>Prospektnamn kan vara i princip vad som helst men lättast är kanske om du döper prospektet efter adressen ex. Vackra vägen 56</t>
  </si>
  <si>
    <t>Yta är den totala ytan på prospektet.</t>
  </si>
  <si>
    <t>C1</t>
  </si>
  <si>
    <t>C2</t>
  </si>
  <si>
    <t>BER: Bottenlån storlek</t>
  </si>
  <si>
    <t>BER: Bottenlån + Topplån</t>
  </si>
  <si>
    <t xml:space="preserve">BER: Topplån </t>
  </si>
  <si>
    <t>E1. Kvar att leva för per månad</t>
  </si>
  <si>
    <t>E2. Totalt ränteavdrag per år</t>
  </si>
  <si>
    <t>E3. Amortering per år</t>
  </si>
  <si>
    <t>E4. Summa per år</t>
  </si>
  <si>
    <t>E5. Utslaget per mån</t>
  </si>
  <si>
    <t>D1. Min lön</t>
  </si>
  <si>
    <t>D2. Skattetabell</t>
  </si>
  <si>
    <t>D3. Lön efter skatt</t>
  </si>
  <si>
    <t>D4. Övriga månatliga inkomster</t>
  </si>
  <si>
    <t>D6. Månatligt sparande</t>
  </si>
  <si>
    <t>D7. El</t>
  </si>
  <si>
    <t>D1</t>
  </si>
  <si>
    <t>D2</t>
  </si>
  <si>
    <t>D3</t>
  </si>
  <si>
    <t>D4</t>
  </si>
  <si>
    <t>D5</t>
  </si>
  <si>
    <t>D6</t>
  </si>
  <si>
    <t>D7</t>
  </si>
  <si>
    <t>D8</t>
  </si>
  <si>
    <t>D9</t>
  </si>
  <si>
    <t>E1</t>
  </si>
  <si>
    <t>E2</t>
  </si>
  <si>
    <t>E3</t>
  </si>
  <si>
    <t>E4</t>
  </si>
  <si>
    <t>E5</t>
  </si>
  <si>
    <t>Detta är hur mycker pengar du har kvar att leva för. Pengar att köpa kläder, mat, nöjen mm.</t>
  </si>
  <si>
    <t>Detta är hur mycket du får göra avdrag för varje år vid deklarationen. I princip brukar detta betyda pengar du får tillbaka från skatten.</t>
  </si>
  <si>
    <t>Detta är hur mycket du amorterar per år.</t>
  </si>
  <si>
    <t>Man kan se ränteavdrag och amorteringar som pengar du "sparar" till dig själv. Du får i vanliga fall pengar tillbaka från skatten och amorteringar är ett sorts sparande. Detta är denna summa per år.</t>
  </si>
  <si>
    <t>Summan i E4 beräknat per månad. Detta kan alltså ses som ett sorts extrasparande per månad.</t>
  </si>
  <si>
    <t>Din bruttolön (i snitt per månad)</t>
  </si>
  <si>
    <t>Skatten i kommunen du bor i (en procentsats)</t>
  </si>
  <si>
    <t>Beräknad nettolön, dvs lön efter skatt.</t>
  </si>
  <si>
    <t>Om du har andra stadiga sidoinkomster kan du ange dessa här (kr efter skatt).</t>
  </si>
  <si>
    <t>Detta är hur mycket du får lägga undan varje månad för att betala lån och amorteringar, för angiven ränta (dvs, pengar som försvinner ur plånboken). Summan tar inte hänsyn till avdrag, jämkningar eller dylikt.</t>
  </si>
  <si>
    <t>Om du har ett månatligt sparande kan du ange totalsumman här.</t>
  </si>
  <si>
    <t>Ungefärlig elkostnad i snitt per månad.</t>
  </si>
  <si>
    <t>D8. Tele och internet</t>
  </si>
  <si>
    <t>D10. Övriga fasta utgifter / mån</t>
  </si>
  <si>
    <t>D10</t>
  </si>
  <si>
    <t>Ungefärlig kostnad för telefon och internet per månad</t>
  </si>
  <si>
    <t>Månatlig kostnad för andra lån du har (billån, CSN mm)</t>
  </si>
  <si>
    <t>Här kan du ange andra fasta kostnader du har varje månad som inte faller in under de andra rubrikerna.</t>
  </si>
  <si>
    <t>Du är välkommen att ändra och förbättra dokumentet, men var som sagt vänlig att behålla informationen om källans ursprung, dvs logotypen i övre vänstra hörnet.</t>
  </si>
  <si>
    <t>Här samlar du alla prospekt som du för närvarande är med i budgivningen på. Du kan då enkelt jämföra kostnad och pris för lägenheterna.</t>
  </si>
  <si>
    <t>Här samlar du prospekt som du av någon anledning inte budar på längre. Det är bra att spara dessa beräkningar för att använda som referens foch jämföra med dina nuvarande prospekt.</t>
  </si>
  <si>
    <r>
      <t>Förhandlingsbara räntor</t>
    </r>
    <r>
      <rPr>
        <sz val="10"/>
        <rFont val="Arial"/>
        <family val="0"/>
      </rPr>
      <t xml:space="preserve"> innebär att du kan få stora rabatter om du förlägger andra delar av din ekonomi hos banken. "</t>
    </r>
    <r>
      <rPr>
        <i/>
        <sz val="10"/>
        <rFont val="Arial"/>
        <family val="2"/>
      </rPr>
      <t>Standardräntorna"</t>
    </r>
    <r>
      <rPr>
        <sz val="10"/>
        <rFont val="Arial"/>
        <family val="0"/>
      </rPr>
      <t xml:space="preserve"> kan därför vara något missvisande.</t>
    </r>
  </si>
  <si>
    <t>Månadsavgiften är avgiften du betalar till bostadsrättsföreningen. Den brukar stå väldigt klart angiven på prospektdokument och annonser.</t>
  </si>
  <si>
    <t>Utgångspriset är priset som mäklaren satt som pris för lägenheten. Det är från detta pris budgivningen startar. Ingenting beräknas utifrån detta pris!</t>
  </si>
  <si>
    <t>Mitt högsta pris är en kom-ihåg för dig själv hur mycket du är beredd att betala för prospektet. Det kan vara bra att sätta ett maxpris för att inte råka förivra sig i budgivningen. Ingenting beräknas utifrån detta pris!</t>
  </si>
  <si>
    <t>Beräkningspris är det priset som används för att beräkna månadskostnader, lån mm. Dvs alla kolumner till höger. Det är lämpligt att använda detta för att tex se vad det nuvarande högsta budet är (och kostar).</t>
  </si>
  <si>
    <t>Månadsavgift per kvadratmeter hjälper dig att förstå hur hög månadsavgiften är i en bostadsrättsförening jämfört med andra.</t>
  </si>
  <si>
    <t>Topplån är ett lån som är högre risk än bottenlånet och har därmed också en högre ränta.</t>
  </si>
  <si>
    <t>Bottenlånet är den största delen av ett lån och är det "stora" lånet. Den har också den lägsta räntan.</t>
  </si>
  <si>
    <t>Detta är kostnaden för ditt bottenlån per månad i ränta.</t>
  </si>
  <si>
    <t>Här har du möjlighet att lägga in kommentarer om ett prospekt, tex intressanta detaljer.</t>
  </si>
  <si>
    <t>Detta är summan av räkntekostnaderna för dina lån (handpenning, topplån och bottenlån). Summan är exklusive avdrag och amorteringar.</t>
  </si>
  <si>
    <t>Detta är summan av räntekostnaderna för dina lån efter att du gjort 30 % avdrag. Detta är alltså hur mycket prospektet skulle kosta dig egentligen.</t>
  </si>
  <si>
    <t>Detta är summan av alla utgifter för prospektet per månad (inklusive amorteringar). Detta är alltså hur mycket som försvinner från plånboken varje månad.</t>
  </si>
  <si>
    <t>1 år</t>
  </si>
  <si>
    <t>2 år</t>
  </si>
  <si>
    <t>5 år</t>
  </si>
  <si>
    <t>x</t>
  </si>
  <si>
    <t>Meddelanderuta</t>
  </si>
  <si>
    <t>BER: Ej finansierat av bank</t>
  </si>
  <si>
    <t>BER: Ej finansierat minus egen insats</t>
  </si>
  <si>
    <t>BER: Statiskt, topplån storlek</t>
  </si>
  <si>
    <t>BER: Topplån plus/minus handpenning kvar</t>
  </si>
  <si>
    <t>Dessa resultat överförs automatiskt till prospektkalkylerna</t>
  </si>
  <si>
    <t>Vanliga frågor</t>
  </si>
  <si>
    <t>Hur gör jag för att lägga till fler rader för prospekt? När jag gör det följer inte beräkningarna med!</t>
  </si>
  <si>
    <t>Markera en rad i prospektlistan genom att markera raden (dvs klicka på radsiffran i Excel). Kopiera denna rad (tex. Högerklicka och välj kopiera). Markera raden under och infoga raden (högerklicka och välj Infoga rad).</t>
  </si>
  <si>
    <t>Jag vill göra ändringar i dokumentet för att passa min specifika situation bättre. Går det bra? Hur gör jag?</t>
  </si>
  <si>
    <t>Jag vill lägga upp detta dokument, eller mitt modifierade dokument, på min hemsida eller blogg. Får jag det?</t>
  </si>
  <si>
    <t>Det går alldeles utmärkt. Vi kan dock inte hjälpa dig med exakt hur du ska lösa Excel-funktioner och så. Dokumentet kräver något mer än grundläggande kunskaper i Excel för att förstå i sin helhet.</t>
  </si>
  <si>
    <t>F1</t>
  </si>
  <si>
    <t>F1. Steg 1. Ange ditt val med x</t>
  </si>
  <si>
    <t>F2. Bank / Låneinstitut</t>
  </si>
  <si>
    <t>F3. Topplån andel</t>
  </si>
  <si>
    <t>F4. Bottenlån andel</t>
  </si>
  <si>
    <t>F13</t>
  </si>
  <si>
    <t>F14</t>
  </si>
  <si>
    <t>F2</t>
  </si>
  <si>
    <t>F3</t>
  </si>
  <si>
    <t>F4</t>
  </si>
  <si>
    <t>F5</t>
  </si>
  <si>
    <t>F6</t>
  </si>
  <si>
    <t>F8</t>
  </si>
  <si>
    <t>F9</t>
  </si>
  <si>
    <t>F10</t>
  </si>
  <si>
    <t>F11</t>
  </si>
  <si>
    <t>F12</t>
  </si>
  <si>
    <t>Sätt ett "x" (liten bokstav) på den bank du vill använda dig av i kalkylexemplena. Du kan bara ange en bank. Lämna de andra fälten i kolumnen tomma.</t>
  </si>
  <si>
    <t>Namnet på banken eller låneinstitutet. Klicka på namnet/länken och du kommer till bankens hemsida.</t>
  </si>
  <si>
    <t>Hur stor del av lånet hos banken som man kan ta som topplån.</t>
  </si>
  <si>
    <t>Hur stor del av lånet hos banken som man maximalt kan ta som bottenlån..</t>
  </si>
  <si>
    <t>Resulterande andel av köpesumman som man själv måste bidra med kontant. Banken kan alltså inte bistå med detta som bostadslån. Du kan i vissa fall låna till denna summa, men då utan säkerhet och högre ränta.</t>
  </si>
  <si>
    <t>I denna kolumn anges räntan för respektive banks topplån. Denna ränta är alltid rörlig och du bör undersöka bankens hemsida för att se den absolut senaste räntan. Fyll gärna i den räntan här.</t>
  </si>
  <si>
    <t>I steg 2 kan du ange hur mycket av lånet som du vill binda och hur mycket du vill ha rörligt. Du anger hur stor andel av lånet som du vill ha på de olika bidningstiderna. Kalkylen räknar automatiskt ut en medelränta för dessa.</t>
  </si>
  <si>
    <t>Denna ränta är samma ränta som angivits under F9 för banken du valt.</t>
  </si>
  <si>
    <t>Här anger du, i procent, hur stor andel av lånet du vill binda (eller ha rörligt) och för hur lång tid. Summan måste självklart bli 100 %.</t>
  </si>
  <si>
    <t>Detta är den uträknade snitträntan, baserat på dina val av bidningstid och dess räntor.</t>
  </si>
  <si>
    <t>Detta är topplånet för banken du valt. Dvs, samma ränta som finns under F8.</t>
  </si>
  <si>
    <t>Handpenningen är normalt 10 % och är en summa du måste betala inom en vecka efter att du skrivit på köpeavtalet.</t>
  </si>
  <si>
    <t>ICA-banken</t>
  </si>
  <si>
    <t>Den Danske Bank</t>
  </si>
  <si>
    <t>Rörlig (3 mån)</t>
  </si>
  <si>
    <r>
      <t xml:space="preserve">Obs! </t>
    </r>
    <r>
      <rPr>
        <sz val="10"/>
        <rFont val="Arial"/>
        <family val="0"/>
      </rPr>
      <t>Räntorna kanske inte stämmer med dagens räntor, kolla helst nuvarande räntor och så att du har rätt räntor. Det är snarare regel än undantag att banken har speciella lån med andra räntor också. Säkrast är att kolla bankernas hemsidor.</t>
    </r>
  </si>
  <si>
    <t>F5. Egen insats</t>
  </si>
  <si>
    <t>B2. Prospektnamn (tex adress)</t>
  </si>
  <si>
    <t>Högrisklån</t>
  </si>
  <si>
    <t>C1. Aktiva prospekt - Lägenheter som du för närvarande överväger och är med i budgivningen på.</t>
  </si>
  <si>
    <t>D9. Övriga lån (CSN, billån etc)</t>
  </si>
  <si>
    <t>Detta är kostnaden för räntan per månad för ditt, eventuella, topplån.</t>
  </si>
  <si>
    <t>Detta är kostnaden för räntan per månad för ditt, eventuella, högrisklån.</t>
  </si>
  <si>
    <t>B20</t>
  </si>
  <si>
    <t>B21</t>
  </si>
  <si>
    <t>D5. Boendekostnad varje månad</t>
  </si>
  <si>
    <t>DETALJERAD VERSION (Enkel version finns på hemsidan)</t>
  </si>
  <si>
    <t>Försäljningspris nuvarande bostad (uppskattningsvis)</t>
  </si>
  <si>
    <t>Kontanter jag kan lägga till</t>
  </si>
  <si>
    <t xml:space="preserve">Såhär mycket vill jag högst lägga ut per månad </t>
  </si>
  <si>
    <r>
      <t xml:space="preserve">Denna summa handlar om din </t>
    </r>
    <r>
      <rPr>
        <b/>
        <sz val="10"/>
        <rFont val="Arial"/>
        <family val="2"/>
      </rPr>
      <t>utgift</t>
    </r>
    <r>
      <rPr>
        <sz val="10"/>
        <rFont val="Arial"/>
        <family val="0"/>
      </rPr>
      <t xml:space="preserve"> per månad, dvs ej inräknat avdrag</t>
    </r>
  </si>
  <si>
    <t>Baserat på denna ränta</t>
  </si>
  <si>
    <t>Vad får du för dina pengar?</t>
  </si>
  <si>
    <t>Såhär mycket får lägenheten kosta per månad (efter avdrag)</t>
  </si>
  <si>
    <t>Exempel 1</t>
  </si>
  <si>
    <t>Exempel 2</t>
  </si>
  <si>
    <t>Exempel 3</t>
  </si>
  <si>
    <t>Månadsavgift</t>
  </si>
  <si>
    <t>alt.</t>
  </si>
  <si>
    <t>Total betalningsförmåga</t>
  </si>
  <si>
    <t>Exempel 4</t>
  </si>
  <si>
    <t>Exempel 5</t>
  </si>
  <si>
    <t>Exempel 6</t>
  </si>
  <si>
    <t>Exempel 7</t>
  </si>
  <si>
    <t>Exempel 8</t>
  </si>
  <si>
    <t>Exempel 9</t>
  </si>
  <si>
    <t>Exempel 10</t>
  </si>
  <si>
    <t>Exempel 11</t>
  </si>
  <si>
    <t>Exempel 12</t>
  </si>
  <si>
    <t>Exempel 13</t>
  </si>
  <si>
    <t>Exempel 14</t>
  </si>
  <si>
    <t>Exempel 15</t>
  </si>
  <si>
    <t>Exempel 16</t>
  </si>
  <si>
    <t>Exempel 17</t>
  </si>
  <si>
    <t>Nuvarande lån</t>
  </si>
  <si>
    <t>Dra gärna till lite med räntan här, så att du klarar dig när räntan är hög!</t>
  </si>
  <si>
    <r>
      <t>Högsta bud (</t>
    </r>
    <r>
      <rPr>
        <sz val="10"/>
        <rFont val="Arial"/>
        <family val="0"/>
      </rPr>
      <t>baserat på kostnad</t>
    </r>
    <r>
      <rPr>
        <b/>
        <sz val="10"/>
        <rFont val="Arial"/>
        <family val="2"/>
      </rPr>
      <t>)</t>
    </r>
  </si>
  <si>
    <r>
      <t>Högsta bud (</t>
    </r>
    <r>
      <rPr>
        <sz val="10"/>
        <rFont val="Arial"/>
        <family val="0"/>
      </rPr>
      <t>baserat på utgift</t>
    </r>
    <r>
      <rPr>
        <b/>
        <sz val="10"/>
        <rFont val="Arial"/>
        <family val="2"/>
      </rPr>
      <t>)</t>
    </r>
  </si>
  <si>
    <r>
      <t xml:space="preserve">Denna summa är vad lägenheten </t>
    </r>
    <r>
      <rPr>
        <b/>
        <sz val="10"/>
        <rFont val="Arial"/>
        <family val="2"/>
      </rPr>
      <t>kostar</t>
    </r>
    <r>
      <rPr>
        <sz val="10"/>
        <rFont val="Arial"/>
        <family val="0"/>
      </rPr>
      <t xml:space="preserve"> på riktigt (mostsvarande en hyra)</t>
    </r>
  </si>
  <si>
    <t>För att lägga in aktuella räntor. Gör såhär:</t>
  </si>
  <si>
    <t>2. Tryck Ctrl+A på tangentbordet (texten blir blåmarkerad)</t>
  </si>
  <si>
    <t>3. Tryck Ctrl+C på tangentbordet (texten blir kopierad)</t>
  </si>
  <si>
    <t>Bank</t>
  </si>
  <si>
    <t>3 mån</t>
  </si>
  <si>
    <t>8 år</t>
  </si>
  <si>
    <t>10 år</t>
  </si>
  <si>
    <t>Ikanobanken</t>
  </si>
  <si>
    <t>4. Markera A9 i detta arbetsblad (den röda rutan)</t>
  </si>
  <si>
    <t>6. Texten blir inklistrad och informationen går nu automatiskt att använda i dina beräkningar</t>
  </si>
  <si>
    <t>ID</t>
  </si>
  <si>
    <t>handelsbanken</t>
  </si>
  <si>
    <t>nordea</t>
  </si>
  <si>
    <t>seb</t>
  </si>
  <si>
    <t>skandiabanken</t>
  </si>
  <si>
    <t>swedbank</t>
  </si>
  <si>
    <t>Notera att lånegränserna och bottenlångränser inte är helt exakta uppgifter, utan bara riktmärken.</t>
  </si>
  <si>
    <t>Lånegräns</t>
  </si>
  <si>
    <t xml:space="preserve">Notera också att räntor för topplån inte finns med. </t>
  </si>
  <si>
    <t>Topplåneränta måste anges manuellt!</t>
  </si>
  <si>
    <t>5. Tryck Ctrl+V på tangentbordet (ny text blir inklistrad)</t>
  </si>
  <si>
    <t>Det här blir din kontantinsats</t>
  </si>
  <si>
    <t>Nytt lån</t>
  </si>
  <si>
    <t>Gul ruta betyder att den kan fyllas i</t>
  </si>
  <si>
    <t>B1. Gör till "aktivt prospekt" (Markera med "x")</t>
  </si>
  <si>
    <t>Min bostad</t>
  </si>
  <si>
    <t>C2. Min nuvarande bostad (jämförelse)</t>
  </si>
  <si>
    <t>Värderad till</t>
  </si>
  <si>
    <t>Informationen ovan hämtas ifrån fliken Låneuppgifter</t>
  </si>
  <si>
    <t>A4. Ev. Amortering</t>
  </si>
  <si>
    <t>Här kan du räknat ut hur du maximalt kan bjuda på ett prospekt</t>
  </si>
  <si>
    <t>Räkneexempel på hur din ekonomi skulle se ut vid ett köp av det aktiva prospektet under "Prospekt"-fliken</t>
  </si>
  <si>
    <t>F6. Topplån ränta</t>
  </si>
  <si>
    <t xml:space="preserve"> F7. Bottenlån ränta (se fliken för Aktuella räntor nedan)</t>
  </si>
  <si>
    <t>F8. Steg 2. Ange hur mycket du vill binda din ränta och hur mycket du vill ha rörligt</t>
  </si>
  <si>
    <t>F9. Ränta</t>
  </si>
  <si>
    <t>F10. Andel</t>
  </si>
  <si>
    <t>F7</t>
  </si>
  <si>
    <t>F11. Medelränta för bottenlån</t>
  </si>
  <si>
    <t>F12. Ränta för ev. topplån</t>
  </si>
  <si>
    <t>F14. Bottenlån andel</t>
  </si>
  <si>
    <t>F13. Topplån andel</t>
  </si>
  <si>
    <t>C3</t>
  </si>
  <si>
    <t>Här lägger du in uppgifter om din nuvarande lägenhet (om du har en, och ska sälja den)</t>
  </si>
  <si>
    <t>F0. Räkna med maxränta</t>
  </si>
  <si>
    <t>%</t>
  </si>
  <si>
    <t>Sätt till tex 7 % för att testa kostnaden för hög ränta.</t>
  </si>
  <si>
    <t>Med tom ruta så räknas räntan enligt nedan.</t>
  </si>
  <si>
    <t>Här kan du skriva in visningstiden för att komma ihåg den.</t>
  </si>
  <si>
    <t>Här kan du lägga in en länk (webbadressen) till prospektets objektbeskrivning hos mäklaren.</t>
  </si>
  <si>
    <t>Förklaringar till kolumnerna hittar du under fliken Förklaringar och Vanliga frågor.</t>
  </si>
  <si>
    <t>Detta är kostnaden för prospektet per månad, dvs vad du egentligen betalar för bostaden. Detta är att jämföra med hyran för en hyreslägenhet.</t>
  </si>
  <si>
    <t>B22</t>
  </si>
  <si>
    <t>B23</t>
  </si>
  <si>
    <t>B24</t>
  </si>
  <si>
    <t>Här fyller du i räntan för topplån och bottenlån. Räntan för dessa kan du hitta under flken "Låneuppgifter", välj där den bank du tror att du kommer att använda. Du kan använda vilken ränta du vill.</t>
  </si>
  <si>
    <t>I dessa rutor fylls automatisk hur stor del av det totala lånet som är bottenlån respektive topplån. Denna information finns också under fliken "Låneuppgifter".</t>
  </si>
  <si>
    <r>
      <t xml:space="preserve">Genom att markera ett prospekt med bokstaven </t>
    </r>
    <r>
      <rPr>
        <b/>
        <sz val="10"/>
        <rFont val="Arial"/>
        <family val="2"/>
      </rPr>
      <t xml:space="preserve">x </t>
    </r>
    <r>
      <rPr>
        <sz val="10"/>
        <rFont val="Arial"/>
        <family val="0"/>
      </rPr>
      <t>i denna kolumn, markerar du att detta prospekt ska användas för beräkningar på tex Min Ekonomi.</t>
    </r>
  </si>
  <si>
    <t>Månadskostnad per kvadratmeter är en mycket viktig indikator för dig när du ska jämföra dina olika prospekt. Med den kan du verkligen se hur mycket du verkligen betalar för varje kvadratmeter (månadsavgift inkluderat).</t>
  </si>
  <si>
    <t>F0</t>
  </si>
  <si>
    <t>Det är väldigt lämpligt att testa att se om du har råd med prospektet för en ränta som är väldigt hög. Sätt in denna ränta i detta fält så beräknas alla lån med denna ränta.</t>
  </si>
  <si>
    <t>Räntan för bottenlånet är antingen rörlig eller bunden. Respektive banks räntor för dessa anges härunder. Räntorna hämtas från fliken "Aktuella räntor".</t>
  </si>
  <si>
    <t>Detta är samma andel som är vald i F3.</t>
  </si>
  <si>
    <t>Detta är samma andel som är vald i F4.</t>
  </si>
  <si>
    <t>Prospekt</t>
  </si>
  <si>
    <t>Mån avg</t>
  </si>
  <si>
    <t>Utgångspris</t>
  </si>
  <si>
    <t>Fördelar</t>
  </si>
  <si>
    <t>Nackdelar</t>
  </si>
  <si>
    <t>Bra affär</t>
  </si>
  <si>
    <t>Mer av en framtida lägenhet</t>
  </si>
  <si>
    <t>Lättare byta vidare</t>
  </si>
  <si>
    <t>Balkong</t>
  </si>
  <si>
    <t>Mkt praktisk</t>
  </si>
  <si>
    <t>Mysigt</t>
  </si>
  <si>
    <t>Bra att bo i</t>
  </si>
  <si>
    <t>Takterass</t>
  </si>
  <si>
    <t>Kostnader</t>
  </si>
  <si>
    <t>http://www.bovision.se</t>
  </si>
  <si>
    <t>Mitt betyg (av 10)</t>
  </si>
  <si>
    <t>C3. Övergivna prospekt - Lägenheter  från C1 som du övergivit på grund av olika orsaker</t>
  </si>
  <si>
    <t>Stort kök</t>
  </si>
  <si>
    <t>Visningstid / kommentar</t>
  </si>
  <si>
    <t>Betyg</t>
  </si>
  <si>
    <t>Visningsschema - att skriva ut inför visningarna</t>
  </si>
  <si>
    <t>Finns det vindsförråd eller källarförråd?</t>
  </si>
  <si>
    <t>Låter det mycket utifrån? Öppna fönstrena och lyssna.</t>
  </si>
  <si>
    <t>Vilka väggar är bärande? Det kan vara bra att veta om du vill ta bort någon vägg sedan.</t>
  </si>
  <si>
    <t>Skulle det finnas plats för en loftsäng?</t>
  </si>
  <si>
    <t>Finns det en frys? Ugn?</t>
  </si>
  <si>
    <t>Var skulle du ställa: köksgeråd, dammsugare, tvättkorg, micro, dator/TV? Var skulle du laga maten?</t>
  </si>
  <si>
    <t>Checklista på visningen:</t>
  </si>
  <si>
    <t>Är köket och badrummet stambytt? När?</t>
  </si>
  <si>
    <t>Finns det hiss?</t>
  </si>
  <si>
    <t>Hur ser badrummet ut? Är det slitet? Snyggt?</t>
  </si>
  <si>
    <t>Finns det döda ytor? Oproportionerligt stora utrymmen man inte kan använda till något praktiskt.</t>
  </si>
  <si>
    <t>Är det mycket insyn? Har fönstrena på andra sidan gatan har persiennerna nere?</t>
  </si>
  <si>
    <t>Se där för mer information.</t>
  </si>
  <si>
    <t xml:space="preserve">Är lägenheten lyhörd? </t>
  </si>
  <si>
    <t xml:space="preserve">Fönstret i sovrummet – Vad finns för eventuella störningskällor utanför? </t>
  </si>
  <si>
    <t>Hur ser fasaden ut? Sliten? Fräsch?</t>
  </si>
  <si>
    <t>Hur ser trapphuset ut? Slitet? Snyggt? Städat?</t>
  </si>
  <si>
    <t>Vilken typ av golv är det i de olika rummen?</t>
  </si>
  <si>
    <t>Skulle det gå att ställa in tvättmaskin?</t>
  </si>
  <si>
    <t>Detta visningsschema hämtas automatiskt från Prospekt-fliken</t>
  </si>
  <si>
    <t>Prospektnamnen hämtas automatiskt från Prospekt-fliken. Fördelar och nackdelar fyller du förstås i själv.</t>
  </si>
  <si>
    <t xml:space="preserve">Hur är lägenheten vid de olika årstiderna? </t>
  </si>
  <si>
    <t>Address</t>
  </si>
  <si>
    <t>City</t>
  </si>
  <si>
    <t>Steg 1. Skriv in vilken stad och eventuellt gata (om du inte gjort det)</t>
  </si>
  <si>
    <t>Steg 2. Markera alla kolumner och rader (gulfärgat)</t>
  </si>
  <si>
    <t>Steg 3. Kopiera de markerade cellerna (Ctrl+C)</t>
  </si>
  <si>
    <t>Steg 4. Gå till http://www.batchgeo.com och klistra in (Ctrl+V) urklippet i rutan vid "Step 1".</t>
  </si>
  <si>
    <t>Steg 5. Klicka "Map now" och en karta med samtliga adresser markerade skapas</t>
  </si>
  <si>
    <t>www.boupplysningen.se</t>
  </si>
  <si>
    <t xml:space="preserve">Detta dokument är skapat av BoUpplysningen.se (fd kopabostadguiden.se), du får fritt distribuera dokumentet i sin ursprungliga samt modifierade form, förutsatt att du behåller informationen om källans ursprung. </t>
  </si>
  <si>
    <t>BoUpplysningen.se är en sida på nätet som hjälper dig när du ska köpa bostad. Du får tips på vad du ska tänka på i alla olika delar av inköpsfasen.</t>
  </si>
  <si>
    <t>Om BoUpplysningen.se</t>
  </si>
  <si>
    <t>BoUpplysningen.se tar dock inte ansvar för att informationen här är 100%-igt korrekt. BoUpplysningen tar heller inte ansvar för fel som uppkommer på grund av felaktiga beräkningar i detta dokument.</t>
  </si>
  <si>
    <t>Har du några frågor eller kommentarer om detta dokument så är du varmt välkommen att skriva till info@boupplysningen.se</t>
  </si>
  <si>
    <t>Har du gjort några förändringar i beräkningar, utförande mm som du tycker fler borde ta del av, mejla då gärna in ditt modifierade dokument till info@boupplysningen.se så är det troligt att vi tar med det i nästa version!</t>
  </si>
  <si>
    <t>BoUpplysningen</t>
  </si>
  <si>
    <t>Checklistan är hämtad från BoUpplysningens Köpa Bostad-guides checklista (Kap 4)</t>
  </si>
  <si>
    <t>B10. Utgångspris</t>
  </si>
  <si>
    <t>B11. Det här är mitt högsta bud!</t>
  </si>
  <si>
    <t>B12. Beräkningspris (tex. högsta bud för närvarande)</t>
  </si>
  <si>
    <t>B15. Summa kostnader per månad    (efter avdrag)</t>
  </si>
  <si>
    <t>B16. Pris / m2</t>
  </si>
  <si>
    <t>B17. Månadsavgift / m2</t>
  </si>
  <si>
    <t>B 18. Månadskostnad / m2</t>
  </si>
  <si>
    <t>B21. Topplån (kr)</t>
  </si>
  <si>
    <t>B22. Bottenlån (kr)</t>
  </si>
  <si>
    <t>B24. Topplån, kr / mån</t>
  </si>
  <si>
    <t>B25. Bottenlån, kr / mån</t>
  </si>
  <si>
    <t>B26. Summa lånekostnad, kr / mån</t>
  </si>
  <si>
    <t xml:space="preserve">B27. Summa lånekostnad (efter avdrag), kr / mån </t>
  </si>
  <si>
    <t>B28. Pantbrevskostnad (villa)</t>
  </si>
  <si>
    <t>B29. Lagfartskostnad (villa)</t>
  </si>
  <si>
    <t>Ring för visning</t>
  </si>
  <si>
    <t>Lägenhet 1</t>
  </si>
  <si>
    <t>Villa 1</t>
  </si>
  <si>
    <t>Villa 2</t>
  </si>
  <si>
    <t>http://www.booli.se</t>
  </si>
  <si>
    <t>http://www.hemnet.se</t>
  </si>
  <si>
    <t>B4. Visning (datum och tid) &amp; egen kommentar</t>
  </si>
  <si>
    <t>B5. Klistra in prospektets webblänk</t>
  </si>
  <si>
    <t>B6. Yta (m2)</t>
  </si>
  <si>
    <t>B7. Månadsavgift (bostadsrätt)</t>
  </si>
  <si>
    <t>B8. Driftskostnad per år (villa)</t>
  </si>
  <si>
    <t>B9. Befintliga pantbrev (villa)</t>
  </si>
  <si>
    <t>B19 Handpenning (10 %)</t>
  </si>
  <si>
    <t>B30. Ytterligare kommentarer</t>
  </si>
  <si>
    <t>B3. Bostadstyp (Villa / Lägenhet)</t>
  </si>
  <si>
    <t>V</t>
  </si>
  <si>
    <t>L</t>
  </si>
  <si>
    <t>B25</t>
  </si>
  <si>
    <t>B26</t>
  </si>
  <si>
    <t>B27</t>
  </si>
  <si>
    <t>B28</t>
  </si>
  <si>
    <t>B29</t>
  </si>
  <si>
    <t>B30</t>
  </si>
  <si>
    <r>
      <t xml:space="preserve">Här definierar du bostadstyp, </t>
    </r>
    <r>
      <rPr>
        <b/>
        <sz val="11"/>
        <rFont val="Arial"/>
        <family val="2"/>
      </rPr>
      <t>V</t>
    </r>
    <r>
      <rPr>
        <sz val="10"/>
        <rFont val="Arial"/>
        <family val="0"/>
      </rPr>
      <t xml:space="preserve"> för villa och</t>
    </r>
    <r>
      <rPr>
        <b/>
        <sz val="10"/>
        <rFont val="Arial"/>
        <family val="2"/>
      </rPr>
      <t xml:space="preserve"> </t>
    </r>
    <r>
      <rPr>
        <b/>
        <sz val="11"/>
        <rFont val="Arial"/>
        <family val="2"/>
      </rPr>
      <t>L</t>
    </r>
    <r>
      <rPr>
        <sz val="10"/>
        <rFont val="Arial"/>
        <family val="0"/>
      </rPr>
      <t xml:space="preserve"> för lägenhet.</t>
    </r>
  </si>
  <si>
    <t>Här beräknas pantbrevskostnaden, 2% av lånesumman som överstiger befintliga pantbrev kopplade till fastigheten.</t>
  </si>
  <si>
    <t>Här beräknas lagfartsavgiften, 1,5% av slutpriset.</t>
  </si>
  <si>
    <t>Driftskostnad för villa, kr/år.</t>
  </si>
  <si>
    <t>Befintliga pantbrev kopplade till fastigheten.</t>
  </si>
  <si>
    <t>Detta är summan av pantbrevsavgift och lagfartsavgift.</t>
  </si>
  <si>
    <t>1. Gå till http://www.rantan.nu/boupplysningen</t>
  </si>
  <si>
    <t>BoUpplysningen.se ansvarar inte för att samtliga uträkningar stämmer till 100%. BoUpplysningen tar inte ansvar för fel som uppkommit pga beräkningar i denna kalkyl.</t>
  </si>
  <si>
    <t>Kalkylen är fri att ändra och distribuera till vänner. Vill du lägga upp kalkylen offentligt, v.v. Kontakta info@boupplysningen.se först.</t>
  </si>
  <si>
    <t>Meddela info@boupplysningen.se om du vill göra detta, för vidare instruktioner.</t>
  </si>
  <si>
    <t>Beräkna maxtak för skälig hyra vid uthyrning av bostadsrätt eller villa</t>
  </si>
  <si>
    <t>Bostadens marknadsvärde</t>
  </si>
  <si>
    <t>Normal avkastningsränta</t>
  </si>
  <si>
    <t>Maxtak för skälig hyra</t>
  </si>
  <si>
    <t>Torsdag kl 18.30</t>
  </si>
  <si>
    <t>Fredag kl 18.00</t>
  </si>
  <si>
    <t>B13. Pantbrev samt lagfartskostnad (Villa)</t>
  </si>
  <si>
    <t>Inställningar</t>
  </si>
  <si>
    <t>Här anger du siffror som gäller för din nuvarande ekonomi. Dessa siffror används sedan över hela kalkylen för att jämföra och beräkna</t>
  </si>
  <si>
    <t>Nuvarande bostad</t>
  </si>
  <si>
    <t>Marknadsvärde</t>
  </si>
  <si>
    <t>Övrig ekonomi</t>
  </si>
  <si>
    <t>Kontanter till kontantinsats</t>
  </si>
  <si>
    <t>Ange 0 om du inte har någon bostad i dagsläget</t>
  </si>
  <si>
    <t>Månadsavgift (bostadsrätt)</t>
  </si>
  <si>
    <t>Driftskostnader (el, bredband, sopor, slitage etc)</t>
  </si>
  <si>
    <t>Värdena hämtas automatiskt från fliken Inställningar om din nuvarande bostad</t>
  </si>
  <si>
    <t>Vad ska du fylla i?</t>
  </si>
  <si>
    <t>Försäljningskostnad</t>
  </si>
  <si>
    <t>Bottenlån (kr)</t>
  </si>
  <si>
    <t>Säljer du ingen bostad så sätt 0 på raden för nuvarande bostad i fliken Inställningar</t>
  </si>
  <si>
    <t>Har du inga lån så sätt 0 på raden för nuvarande bostad i fliken Inställningar</t>
  </si>
  <si>
    <t>Topplån (kr)</t>
  </si>
  <si>
    <t>Ränta topplån</t>
  </si>
  <si>
    <t>Villa (V) eller Lägenhet (L)?</t>
  </si>
  <si>
    <t>Bostadens yta</t>
  </si>
  <si>
    <t>-- Om du har en villa</t>
  </si>
  <si>
    <t>-- Om du har en bostadsrätt</t>
  </si>
  <si>
    <t>Driftskostnad per år</t>
  </si>
  <si>
    <t>Befintliga pantbrev</t>
  </si>
  <si>
    <t>Ange 0 om du inte har en villa</t>
  </si>
  <si>
    <t>Ange 0 om du inte har en bostadsrätt</t>
  </si>
  <si>
    <t>Kvar efter försäljning</t>
  </si>
  <si>
    <t>Månadsavgift / månadskostnad</t>
  </si>
  <si>
    <t xml:space="preserve">Räntorna hämtas från fliken "Låneuppgifter" och den bank som är markerad. Det går inte, för närvarande, att jämföra en banks räntor mot en annan. </t>
  </si>
  <si>
    <t>3 år</t>
  </si>
  <si>
    <t>4 år</t>
  </si>
  <si>
    <t>6 år</t>
  </si>
  <si>
    <t>7 år</t>
  </si>
  <si>
    <t>9 år</t>
  </si>
  <si>
    <t>den-danske-bank</t>
  </si>
  <si>
    <t>ica-banken</t>
  </si>
  <si>
    <t>ikanobanken</t>
  </si>
  <si>
    <t>sbab-bank</t>
  </si>
  <si>
    <t>SBAB Bank</t>
  </si>
  <si>
    <r>
      <t>Obs!</t>
    </r>
    <r>
      <rPr>
        <sz val="10"/>
        <rFont val="Arial"/>
        <family val="0"/>
      </rPr>
      <t xml:space="preserve"> Dessa summor går inte upp till 100 %. Den utskjutande summan måste du själv lägga till som handpenning. Detta är minst 15 % av köpesumman.</t>
    </r>
  </si>
  <si>
    <t>Medelränta bottenlån</t>
  </si>
  <si>
    <t>Detta gör att det (förmodligen) inte är dina egentliga kostnader som visas i fliken Prospekt för din bostad. Det gör dock att jömförelsen med andra prospekt blir mer rättvis.</t>
  </si>
  <si>
    <t>Om du inte vill använda dessa räntor kan du ersätta beräkningen av "Medelränta bottenlån" samt "Ränta topplån" med en eget vald ränta i cellerna G27 respektive G29.</t>
  </si>
  <si>
    <t xml:space="preserve">Amortering per månad </t>
  </si>
  <si>
    <t>Vill du räkna med amorteringar?</t>
  </si>
  <si>
    <t>Hur mycket kan du själv lägga till som kontanter?</t>
  </si>
  <si>
    <t>Förvald bank</t>
  </si>
  <si>
    <t>Ändra detta i fliken "Låneuppgifter"</t>
  </si>
  <si>
    <t>Eget exempel (med X markerat prospekt i fliken "Prospekt")</t>
  </si>
  <si>
    <t>B14. Summa utgifter (månadsavgift, driftskostnad, amorteringar, räntor)</t>
  </si>
  <si>
    <t>baserat på din egna insats och önskad kostnad för bostaden.</t>
  </si>
  <si>
    <t>Ev. partner lön</t>
  </si>
  <si>
    <t>Kombinerad nettolön</t>
  </si>
  <si>
    <t>Ev. partner skattetabell</t>
  </si>
  <si>
    <t>Ev. partner lön efter skatt</t>
  </si>
  <si>
    <t>Övriga inställningar</t>
  </si>
  <si>
    <t>Ränta för blancolån</t>
  </si>
  <si>
    <t>B20. Ev. blancolån (kr)</t>
  </si>
  <si>
    <t>B23. Blancolån, kr / mån</t>
  </si>
  <si>
    <t>Effektiva räntan för ett blancolån hos din bank</t>
  </si>
  <si>
    <t>&lt;-- Ändra värdet av bottenlånets andel om du har andra uppgifter från banken</t>
  </si>
  <si>
    <t>&lt;-- Ändra värdet av topplånets andel om du har andra uppgifter från banken</t>
  </si>
  <si>
    <t>Om du inte har tillräckligt med pengar för att täcka den andel som banken ger lån på måste du antingen byta bank eller ta ett blancolån / högrisklån. Med högrisklån menas här ett lån utan säkerhet och de är ofta dyra. Du kan ange räntan för detta i fliken "Inställningar". Den röda siffran (den är bara synlig när du har högrisklån) syftar till belåningsgraden.</t>
  </si>
  <si>
    <t>Belåningsgrad</t>
  </si>
  <si>
    <t>Nedanstående uppgifter avser maxgränserna.</t>
  </si>
  <si>
    <t>Pris per m2 är priset per kvadratmeter. Det är en vanlig indikator på hur dyr lägenheten är jämfört med andra lägenheter. Att jämföra lägenheter enbart med priset per m2 är dock något missvisande då mätvärdet inte tar hänsyn till månadsavgiften (som påverkar priset!).</t>
  </si>
  <si>
    <t>Använd jämkning</t>
  </si>
  <si>
    <t>N</t>
  </si>
  <si>
    <t>Sätt J här (cell E3) om du vill beräkna med skattejämkning av ränteavdraget</t>
  </si>
  <si>
    <t>Såhär mycket amorterar du per år.</t>
  </si>
  <si>
    <t>Summan av amorteringar och ev. ränteavdrag du inte jämkat är ett sorts sparande. Såhär mycket är summan.</t>
  </si>
  <si>
    <t>Samma summa som ovan utslaget per månad.</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</si>
</sst>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0\ &quot;kr&quot;"/>
    <numFmt numFmtId="166" formatCode="&quot;Yes&quot;;&quot;Yes&quot;;&quot;No&quot;"/>
    <numFmt numFmtId="167" formatCode="&quot;True&quot;;&quot;True&quot;;&quot;False&quot;"/>
    <numFmt numFmtId="168" formatCode="&quot;On&quot;;&quot;On&quot;;&quot;Off&quot;"/>
    <numFmt numFmtId="169" formatCode="[$€-2]\ #,##0.00_);[Red]\([$€-2]\ #,##0.00\)"/>
    <numFmt numFmtId="170" formatCode="&quot;Ja&quot;;&quot;Ja&quot;;&quot;Nej&quot;"/>
    <numFmt numFmtId="171" formatCode="&quot;Sant&quot;;&quot;Sant&quot;;&quot;Falskt&quot;"/>
    <numFmt numFmtId="172" formatCode="&quot;På&quot;;&quot;På&quot;;&quot;Av&quot;"/>
    <numFmt numFmtId="173" formatCode="0.0%"/>
  </numFmts>
  <fonts count="59">
    <font>
      <sz val="10"/>
      <name val="Arial"/>
      <family val="0"/>
    </font>
    <font>
      <sz val="8"/>
      <name val="Arial"/>
      <family val="2"/>
    </font>
    <font>
      <u val="single"/>
      <sz val="10"/>
      <color indexed="12"/>
      <name val="Arial"/>
      <family val="2"/>
    </font>
    <font>
      <b/>
      <sz val="10"/>
      <name val="Arial"/>
      <family val="2"/>
    </font>
    <font>
      <i/>
      <sz val="10"/>
      <name val="Arial"/>
      <family val="2"/>
    </font>
    <font>
      <u val="single"/>
      <sz val="10"/>
      <color indexed="36"/>
      <name val="Arial"/>
      <family val="2"/>
    </font>
    <font>
      <b/>
      <i/>
      <sz val="10"/>
      <name val="Arial"/>
      <family val="2"/>
    </font>
    <font>
      <sz val="10"/>
      <color indexed="9"/>
      <name val="Arial"/>
      <family val="2"/>
    </font>
    <font>
      <sz val="10"/>
      <color indexed="55"/>
      <name val="Arial"/>
      <family val="2"/>
    </font>
    <font>
      <b/>
      <sz val="12"/>
      <name val="Arial"/>
      <family val="2"/>
    </font>
    <font>
      <b/>
      <sz val="10"/>
      <color indexed="10"/>
      <name val="Arial"/>
      <family val="2"/>
    </font>
    <font>
      <sz val="10"/>
      <color indexed="42"/>
      <name val="Arial"/>
      <family val="2"/>
    </font>
    <font>
      <sz val="12"/>
      <name val="Arial"/>
      <family val="2"/>
    </font>
    <font>
      <sz val="18"/>
      <name val="Arial"/>
      <family val="2"/>
    </font>
    <font>
      <b/>
      <u val="single"/>
      <sz val="10"/>
      <color indexed="12"/>
      <name val="Arial"/>
      <family val="2"/>
    </font>
    <font>
      <sz val="14"/>
      <name val="Arial"/>
      <family val="2"/>
    </font>
    <font>
      <sz val="10"/>
      <color indexed="23"/>
      <name val="Arial"/>
      <family val="2"/>
    </font>
    <font>
      <b/>
      <sz val="11"/>
      <name val="Arial"/>
      <family val="2"/>
    </font>
    <font>
      <sz val="9"/>
      <name val="Arial"/>
      <family val="0"/>
    </font>
    <font>
      <b/>
      <sz val="9"/>
      <name val="Arial"/>
      <family val="0"/>
    </font>
    <font>
      <b/>
      <sz val="14"/>
      <name val="Arial"/>
      <family val="0"/>
    </font>
    <font>
      <sz val="1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0"/>
    </font>
    <font>
      <sz val="10"/>
      <color rgb="FFFF0000"/>
      <name val="Arial"/>
      <family val="0"/>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theme="5"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ck"/>
      <top>
        <color indexed="63"/>
      </top>
      <bottom>
        <color indexed="63"/>
      </bottom>
    </border>
    <border>
      <left>
        <color indexed="63"/>
      </left>
      <right style="thick"/>
      <top style="thin"/>
      <bottom>
        <color indexed="63"/>
      </bottom>
    </border>
    <border>
      <left>
        <color indexed="63"/>
      </left>
      <right style="thick"/>
      <top>
        <color indexed="63"/>
      </top>
      <bottom style="thin"/>
    </border>
    <border>
      <left>
        <color indexed="63"/>
      </left>
      <right style="thick"/>
      <top style="thin"/>
      <bottom style="thin"/>
    </border>
    <border>
      <left style="thick"/>
      <right style="thick"/>
      <top style="thin"/>
      <bottom>
        <color indexed="63"/>
      </bottom>
    </border>
    <border>
      <left style="thick"/>
      <right style="thick"/>
      <top>
        <color indexed="63"/>
      </top>
      <bottom>
        <color indexed="63"/>
      </bottom>
    </border>
    <border>
      <left style="thick"/>
      <right style="thick"/>
      <top>
        <color indexed="63"/>
      </top>
      <bottom style="thin"/>
    </border>
    <border>
      <left style="thick"/>
      <right style="thick"/>
      <top style="thin"/>
      <bottom style="thin"/>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n"/>
      <right style="thick"/>
      <top style="thin"/>
      <bottom style="thin"/>
    </border>
    <border>
      <left style="thin"/>
      <right>
        <color indexed="63"/>
      </right>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24"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27">
    <xf numFmtId="0" fontId="0" fillId="0" borderId="0" xfId="0" applyAlignment="1">
      <alignment/>
    </xf>
    <xf numFmtId="0" fontId="0" fillId="32" borderId="0" xfId="0" applyFill="1" applyAlignment="1">
      <alignment/>
    </xf>
    <xf numFmtId="0" fontId="2" fillId="32" borderId="0" xfId="53" applyFill="1" applyAlignment="1" applyProtection="1">
      <alignment/>
      <protection/>
    </xf>
    <xf numFmtId="0" fontId="3" fillId="32" borderId="0" xfId="0" applyFont="1" applyFill="1" applyAlignment="1">
      <alignment/>
    </xf>
    <xf numFmtId="49" fontId="0" fillId="32" borderId="0" xfId="0" applyNumberFormat="1" applyFill="1" applyAlignment="1">
      <alignment wrapText="1"/>
    </xf>
    <xf numFmtId="0" fontId="0" fillId="32" borderId="0" xfId="0" applyFill="1" applyAlignment="1">
      <alignment wrapText="1"/>
    </xf>
    <xf numFmtId="3" fontId="0" fillId="32" borderId="0" xfId="0" applyNumberFormat="1" applyFill="1" applyAlignment="1">
      <alignment/>
    </xf>
    <xf numFmtId="3" fontId="3" fillId="32" borderId="0" xfId="0" applyNumberFormat="1" applyFont="1" applyFill="1" applyAlignment="1">
      <alignment/>
    </xf>
    <xf numFmtId="0" fontId="0" fillId="30" borderId="0" xfId="0" applyFill="1" applyAlignment="1">
      <alignment/>
    </xf>
    <xf numFmtId="3" fontId="0" fillId="30" borderId="0" xfId="0" applyNumberFormat="1" applyFill="1" applyAlignment="1">
      <alignment/>
    </xf>
    <xf numFmtId="9" fontId="0" fillId="32" borderId="0" xfId="0" applyNumberFormat="1" applyFill="1" applyAlignment="1">
      <alignment/>
    </xf>
    <xf numFmtId="164" fontId="0" fillId="32" borderId="0" xfId="0" applyNumberFormat="1" applyFill="1" applyAlignment="1">
      <alignment/>
    </xf>
    <xf numFmtId="164" fontId="0" fillId="30" borderId="0" xfId="0" applyNumberFormat="1" applyFill="1" applyAlignment="1">
      <alignment/>
    </xf>
    <xf numFmtId="0" fontId="0" fillId="32" borderId="10" xfId="0" applyFill="1" applyBorder="1" applyAlignment="1">
      <alignment/>
    </xf>
    <xf numFmtId="0" fontId="0" fillId="32" borderId="0" xfId="0" applyFill="1" applyBorder="1" applyAlignment="1">
      <alignment/>
    </xf>
    <xf numFmtId="3" fontId="0" fillId="32" borderId="0" xfId="0" applyNumberFormat="1" applyFill="1" applyBorder="1" applyAlignment="1">
      <alignment/>
    </xf>
    <xf numFmtId="164" fontId="0" fillId="0" borderId="0" xfId="0" applyNumberFormat="1" applyFill="1" applyAlignment="1">
      <alignment/>
    </xf>
    <xf numFmtId="0" fontId="3" fillId="32" borderId="0" xfId="0" applyFont="1" applyFill="1" applyBorder="1" applyAlignment="1">
      <alignment/>
    </xf>
    <xf numFmtId="0" fontId="0" fillId="32" borderId="11" xfId="0" applyFill="1" applyBorder="1" applyAlignment="1">
      <alignment/>
    </xf>
    <xf numFmtId="3" fontId="0" fillId="32" borderId="11" xfId="0" applyNumberFormat="1" applyFill="1" applyBorder="1" applyAlignment="1">
      <alignment/>
    </xf>
    <xf numFmtId="0" fontId="6" fillId="32" borderId="0" xfId="0" applyFont="1" applyFill="1" applyAlignment="1">
      <alignment/>
    </xf>
    <xf numFmtId="0" fontId="0" fillId="32" borderId="12" xfId="0" applyFill="1" applyBorder="1" applyAlignment="1">
      <alignment/>
    </xf>
    <xf numFmtId="0" fontId="0" fillId="32" borderId="13" xfId="0" applyFill="1" applyBorder="1" applyAlignment="1">
      <alignment/>
    </xf>
    <xf numFmtId="0" fontId="0" fillId="32" borderId="14" xfId="0" applyFill="1" applyBorder="1" applyAlignment="1">
      <alignment/>
    </xf>
    <xf numFmtId="0" fontId="3" fillId="4" borderId="15" xfId="0" applyFont="1" applyFill="1" applyBorder="1" applyAlignment="1">
      <alignment vertical="top" wrapText="1"/>
    </xf>
    <xf numFmtId="0" fontId="3" fillId="32" borderId="0" xfId="0" applyFont="1" applyFill="1" applyBorder="1" applyAlignment="1">
      <alignment vertical="top" wrapText="1"/>
    </xf>
    <xf numFmtId="0" fontId="0" fillId="32" borderId="0" xfId="0" applyFont="1" applyFill="1" applyAlignment="1">
      <alignment/>
    </xf>
    <xf numFmtId="164" fontId="0" fillId="32" borderId="0" xfId="0" applyNumberFormat="1" applyFont="1" applyFill="1" applyAlignment="1">
      <alignment/>
    </xf>
    <xf numFmtId="164" fontId="0" fillId="30" borderId="0" xfId="0" applyNumberFormat="1" applyFont="1" applyFill="1" applyAlignment="1">
      <alignment vertical="top"/>
    </xf>
    <xf numFmtId="0" fontId="9" fillId="32" borderId="0" xfId="0" applyFont="1" applyFill="1" applyAlignment="1">
      <alignment/>
    </xf>
    <xf numFmtId="0" fontId="0" fillId="30" borderId="15" xfId="0" applyFill="1" applyBorder="1" applyAlignment="1">
      <alignment/>
    </xf>
    <xf numFmtId="0" fontId="0" fillId="32" borderId="15" xfId="0" applyFill="1" applyBorder="1" applyAlignment="1">
      <alignment/>
    </xf>
    <xf numFmtId="3" fontId="0" fillId="32" borderId="0" xfId="0" applyNumberFormat="1" applyFill="1" applyBorder="1" applyAlignment="1">
      <alignment horizontal="center"/>
    </xf>
    <xf numFmtId="0" fontId="0" fillId="30" borderId="0" xfId="0" applyFill="1" applyBorder="1" applyAlignment="1">
      <alignment horizontal="center"/>
    </xf>
    <xf numFmtId="3" fontId="0" fillId="30" borderId="0" xfId="0" applyNumberFormat="1" applyFill="1" applyBorder="1" applyAlignment="1">
      <alignment horizontal="center"/>
    </xf>
    <xf numFmtId="3" fontId="0" fillId="32" borderId="11" xfId="0" applyNumberFormat="1" applyFill="1" applyBorder="1" applyAlignment="1">
      <alignment horizontal="center"/>
    </xf>
    <xf numFmtId="3" fontId="0" fillId="32" borderId="11" xfId="0" applyNumberFormat="1" applyFont="1" applyFill="1" applyBorder="1" applyAlignment="1">
      <alignment horizontal="center"/>
    </xf>
    <xf numFmtId="3" fontId="0" fillId="32" borderId="0" xfId="0" applyNumberFormat="1" applyFont="1" applyFill="1" applyBorder="1" applyAlignment="1">
      <alignment horizontal="center"/>
    </xf>
    <xf numFmtId="0" fontId="0" fillId="30" borderId="11" xfId="0" applyFill="1" applyBorder="1" applyAlignment="1">
      <alignment horizontal="center"/>
    </xf>
    <xf numFmtId="3" fontId="0" fillId="30" borderId="11" xfId="0" applyNumberFormat="1" applyFill="1" applyBorder="1" applyAlignment="1">
      <alignment horizontal="center"/>
    </xf>
    <xf numFmtId="42" fontId="0" fillId="32" borderId="0" xfId="0" applyNumberFormat="1" applyFill="1" applyAlignment="1">
      <alignment/>
    </xf>
    <xf numFmtId="0" fontId="8" fillId="32" borderId="0" xfId="0" applyFont="1" applyFill="1" applyAlignment="1">
      <alignment/>
    </xf>
    <xf numFmtId="42" fontId="8" fillId="32" borderId="0" xfId="0" applyNumberFormat="1" applyFont="1" applyFill="1" applyAlignment="1">
      <alignment/>
    </xf>
    <xf numFmtId="0" fontId="0" fillId="30" borderId="16" xfId="0" applyFill="1" applyBorder="1" applyAlignment="1">
      <alignment wrapText="1"/>
    </xf>
    <xf numFmtId="0" fontId="0" fillId="30" borderId="17" xfId="0" applyFill="1" applyBorder="1" applyAlignment="1">
      <alignment wrapText="1"/>
    </xf>
    <xf numFmtId="0" fontId="0" fillId="30" borderId="18" xfId="0" applyFill="1" applyBorder="1" applyAlignment="1">
      <alignment wrapText="1"/>
    </xf>
    <xf numFmtId="49" fontId="0" fillId="32" borderId="0" xfId="0" applyNumberFormat="1" applyFill="1" applyAlignment="1">
      <alignment/>
    </xf>
    <xf numFmtId="10" fontId="0" fillId="32" borderId="0" xfId="0" applyNumberFormat="1" applyFill="1" applyAlignment="1">
      <alignment/>
    </xf>
    <xf numFmtId="0" fontId="11" fillId="32" borderId="0" xfId="0" applyFont="1" applyFill="1" applyAlignment="1">
      <alignment/>
    </xf>
    <xf numFmtId="9" fontId="3" fillId="32" borderId="12" xfId="0" applyNumberFormat="1" applyFont="1" applyFill="1" applyBorder="1" applyAlignment="1">
      <alignment/>
    </xf>
    <xf numFmtId="10" fontId="0" fillId="32" borderId="18" xfId="0" applyNumberFormat="1" applyFill="1" applyBorder="1" applyAlignment="1">
      <alignment/>
    </xf>
    <xf numFmtId="0" fontId="3" fillId="32" borderId="13" xfId="0" applyFont="1" applyFill="1" applyBorder="1" applyAlignment="1">
      <alignment/>
    </xf>
    <xf numFmtId="0" fontId="0" fillId="32" borderId="16" xfId="0" applyFill="1" applyBorder="1" applyAlignment="1">
      <alignment/>
    </xf>
    <xf numFmtId="9" fontId="0" fillId="32" borderId="16" xfId="0" applyNumberFormat="1" applyFill="1" applyBorder="1" applyAlignment="1">
      <alignment/>
    </xf>
    <xf numFmtId="0" fontId="3" fillId="32" borderId="14" xfId="0" applyFont="1" applyFill="1" applyBorder="1" applyAlignment="1">
      <alignment/>
    </xf>
    <xf numFmtId="9" fontId="0" fillId="32" borderId="17" xfId="0" applyNumberFormat="1" applyFill="1" applyBorder="1" applyAlignment="1">
      <alignment/>
    </xf>
    <xf numFmtId="10" fontId="0" fillId="32" borderId="16" xfId="0" applyNumberFormat="1" applyFill="1" applyBorder="1" applyAlignment="1">
      <alignment/>
    </xf>
    <xf numFmtId="0" fontId="10" fillId="32" borderId="0" xfId="0" applyFont="1" applyFill="1" applyAlignment="1">
      <alignment wrapText="1"/>
    </xf>
    <xf numFmtId="3" fontId="10" fillId="32" borderId="0" xfId="0" applyNumberFormat="1" applyFont="1" applyFill="1" applyBorder="1" applyAlignment="1">
      <alignment horizontal="center"/>
    </xf>
    <xf numFmtId="3" fontId="10" fillId="32" borderId="11" xfId="0" applyNumberFormat="1" applyFont="1" applyFill="1" applyBorder="1" applyAlignment="1">
      <alignment horizontal="center"/>
    </xf>
    <xf numFmtId="3" fontId="10" fillId="32" borderId="12" xfId="0" applyNumberFormat="1" applyFont="1" applyFill="1" applyBorder="1" applyAlignment="1">
      <alignment/>
    </xf>
    <xf numFmtId="0" fontId="0" fillId="32" borderId="10" xfId="0" applyFill="1" applyBorder="1" applyAlignment="1">
      <alignment/>
    </xf>
    <xf numFmtId="0" fontId="0" fillId="32" borderId="18" xfId="0" applyFill="1" applyBorder="1" applyAlignment="1">
      <alignment/>
    </xf>
    <xf numFmtId="3" fontId="10" fillId="32" borderId="13" xfId="0" applyNumberFormat="1" applyFont="1" applyFill="1" applyBorder="1" applyAlignment="1">
      <alignment/>
    </xf>
    <xf numFmtId="3" fontId="0" fillId="32" borderId="0" xfId="0" applyNumberFormat="1" applyFill="1" applyBorder="1" applyAlignment="1">
      <alignment/>
    </xf>
    <xf numFmtId="0" fontId="0" fillId="32" borderId="16" xfId="0" applyFill="1" applyBorder="1" applyAlignment="1">
      <alignment/>
    </xf>
    <xf numFmtId="3" fontId="10" fillId="32" borderId="14" xfId="0" applyNumberFormat="1" applyFont="1" applyFill="1" applyBorder="1" applyAlignment="1">
      <alignment/>
    </xf>
    <xf numFmtId="0" fontId="0" fillId="32" borderId="17" xfId="0" applyFill="1" applyBorder="1" applyAlignment="1">
      <alignment/>
    </xf>
    <xf numFmtId="3" fontId="3" fillId="32" borderId="0" xfId="0" applyNumberFormat="1" applyFont="1" applyFill="1" applyBorder="1" applyAlignment="1">
      <alignment/>
    </xf>
    <xf numFmtId="3" fontId="0" fillId="32" borderId="0" xfId="0" applyNumberFormat="1" applyFont="1" applyFill="1" applyBorder="1" applyAlignment="1">
      <alignment/>
    </xf>
    <xf numFmtId="0" fontId="0" fillId="32" borderId="16" xfId="0" applyFont="1" applyFill="1" applyBorder="1" applyAlignment="1">
      <alignment/>
    </xf>
    <xf numFmtId="0" fontId="3" fillId="32" borderId="0" xfId="0" applyFont="1" applyFill="1" applyAlignment="1">
      <alignment vertical="top"/>
    </xf>
    <xf numFmtId="0" fontId="0" fillId="32" borderId="0" xfId="0" applyFill="1" applyAlignment="1">
      <alignment vertical="top" wrapText="1"/>
    </xf>
    <xf numFmtId="9" fontId="0" fillId="32" borderId="10" xfId="0" applyNumberFormat="1" applyFill="1" applyBorder="1" applyAlignment="1">
      <alignment/>
    </xf>
    <xf numFmtId="0" fontId="4" fillId="32" borderId="10" xfId="0" applyFont="1" applyFill="1" applyBorder="1" applyAlignment="1">
      <alignment/>
    </xf>
    <xf numFmtId="0" fontId="0" fillId="32" borderId="18" xfId="0" applyFill="1" applyBorder="1" applyAlignment="1">
      <alignment/>
    </xf>
    <xf numFmtId="9" fontId="0" fillId="32" borderId="0" xfId="0" applyNumberFormat="1" applyFill="1" applyBorder="1" applyAlignment="1">
      <alignment/>
    </xf>
    <xf numFmtId="0" fontId="3" fillId="32" borderId="13" xfId="0" applyFont="1" applyFill="1" applyBorder="1" applyAlignment="1">
      <alignment wrapText="1"/>
    </xf>
    <xf numFmtId="9" fontId="3" fillId="32" borderId="0" xfId="0" applyNumberFormat="1" applyFont="1" applyFill="1" applyBorder="1" applyAlignment="1">
      <alignment/>
    </xf>
    <xf numFmtId="9" fontId="3" fillId="32" borderId="0" xfId="0" applyNumberFormat="1" applyFont="1" applyFill="1" applyBorder="1" applyAlignment="1">
      <alignment wrapText="1"/>
    </xf>
    <xf numFmtId="0" fontId="0" fillId="32" borderId="13" xfId="0" applyFill="1" applyBorder="1" applyAlignment="1">
      <alignment horizontal="center"/>
    </xf>
    <xf numFmtId="9" fontId="0" fillId="32" borderId="0" xfId="0" applyNumberFormat="1" applyFill="1" applyBorder="1" applyAlignment="1">
      <alignment horizontal="center"/>
    </xf>
    <xf numFmtId="0" fontId="3" fillId="32" borderId="12" xfId="0" applyFont="1" applyFill="1" applyBorder="1" applyAlignment="1">
      <alignment/>
    </xf>
    <xf numFmtId="9" fontId="0" fillId="32" borderId="18" xfId="0" applyNumberFormat="1" applyFill="1" applyBorder="1" applyAlignment="1">
      <alignment/>
    </xf>
    <xf numFmtId="49" fontId="0" fillId="32" borderId="0" xfId="0" applyNumberFormat="1" applyFill="1" applyBorder="1" applyAlignment="1">
      <alignment/>
    </xf>
    <xf numFmtId="49" fontId="3" fillId="32" borderId="0" xfId="0" applyNumberFormat="1" applyFont="1" applyFill="1" applyBorder="1" applyAlignment="1">
      <alignment horizontal="center"/>
    </xf>
    <xf numFmtId="9" fontId="0" fillId="30" borderId="0" xfId="0" applyNumberFormat="1" applyFill="1" applyBorder="1" applyAlignment="1">
      <alignment horizontal="center"/>
    </xf>
    <xf numFmtId="10" fontId="7" fillId="32" borderId="16" xfId="0" applyNumberFormat="1" applyFont="1" applyFill="1" applyBorder="1" applyAlignment="1">
      <alignment/>
    </xf>
    <xf numFmtId="9" fontId="0" fillId="32" borderId="11" xfId="0" applyNumberFormat="1" applyFill="1" applyBorder="1" applyAlignment="1">
      <alignment/>
    </xf>
    <xf numFmtId="0" fontId="4" fillId="32" borderId="0" xfId="0" applyFont="1" applyFill="1" applyAlignment="1">
      <alignment/>
    </xf>
    <xf numFmtId="10" fontId="0" fillId="32" borderId="0" xfId="0" applyNumberFormat="1" applyFill="1" applyBorder="1" applyAlignment="1">
      <alignment horizontal="center"/>
    </xf>
    <xf numFmtId="9" fontId="10" fillId="32" borderId="11" xfId="0" applyNumberFormat="1" applyFont="1" applyFill="1" applyBorder="1" applyAlignment="1">
      <alignment/>
    </xf>
    <xf numFmtId="10" fontId="0" fillId="32" borderId="0" xfId="0" applyNumberFormat="1" applyFill="1" applyBorder="1" applyAlignment="1">
      <alignment/>
    </xf>
    <xf numFmtId="3" fontId="0" fillId="32" borderId="16" xfId="0" applyNumberFormat="1" applyFill="1" applyBorder="1" applyAlignment="1">
      <alignment/>
    </xf>
    <xf numFmtId="0" fontId="3" fillId="32" borderId="13" xfId="0" applyFont="1" applyFill="1" applyBorder="1" applyAlignment="1">
      <alignment/>
    </xf>
    <xf numFmtId="0" fontId="0" fillId="0" borderId="0" xfId="0" applyBorder="1" applyAlignment="1">
      <alignment/>
    </xf>
    <xf numFmtId="0" fontId="3" fillId="32" borderId="0" xfId="0" applyFont="1" applyFill="1" applyBorder="1" applyAlignment="1">
      <alignment wrapText="1"/>
    </xf>
    <xf numFmtId="3" fontId="0" fillId="32" borderId="13" xfId="0" applyNumberFormat="1" applyFill="1" applyBorder="1" applyAlignment="1">
      <alignment/>
    </xf>
    <xf numFmtId="3" fontId="3" fillId="32" borderId="16" xfId="0" applyNumberFormat="1" applyFont="1" applyFill="1" applyBorder="1" applyAlignment="1">
      <alignment/>
    </xf>
    <xf numFmtId="0" fontId="12" fillId="32" borderId="0" xfId="0" applyFont="1" applyFill="1" applyAlignment="1">
      <alignment/>
    </xf>
    <xf numFmtId="3" fontId="3" fillId="4" borderId="19" xfId="0" applyNumberFormat="1" applyFont="1" applyFill="1" applyBorder="1" applyAlignment="1">
      <alignment horizontal="center" textRotation="45" wrapText="1"/>
    </xf>
    <xf numFmtId="3" fontId="3" fillId="4" borderId="19" xfId="0" applyNumberFormat="1" applyFont="1" applyFill="1" applyBorder="1" applyAlignment="1">
      <alignment horizontal="center" textRotation="45"/>
    </xf>
    <xf numFmtId="3" fontId="3" fillId="32" borderId="19" xfId="0" applyNumberFormat="1" applyFont="1" applyFill="1" applyBorder="1" applyAlignment="1">
      <alignment horizontal="center" textRotation="45"/>
    </xf>
    <xf numFmtId="0" fontId="3" fillId="32" borderId="0" xfId="0" applyFont="1" applyFill="1" applyBorder="1" applyAlignment="1">
      <alignment horizontal="center"/>
    </xf>
    <xf numFmtId="0" fontId="3" fillId="32" borderId="0" xfId="0" applyFont="1" applyFill="1" applyAlignment="1">
      <alignment horizontal="center"/>
    </xf>
    <xf numFmtId="10" fontId="0" fillId="30" borderId="0" xfId="0" applyNumberFormat="1" applyFill="1" applyBorder="1" applyAlignment="1">
      <alignment horizontal="center"/>
    </xf>
    <xf numFmtId="0" fontId="3" fillId="32" borderId="0" xfId="0" applyFont="1" applyFill="1" applyBorder="1" applyAlignment="1">
      <alignment horizontal="center" wrapText="1"/>
    </xf>
    <xf numFmtId="0" fontId="3" fillId="32" borderId="16" xfId="0" applyFont="1" applyFill="1" applyBorder="1" applyAlignment="1">
      <alignment horizontal="center"/>
    </xf>
    <xf numFmtId="49" fontId="7" fillId="32" borderId="16" xfId="0" applyNumberFormat="1" applyFont="1" applyFill="1" applyBorder="1" applyAlignment="1">
      <alignment/>
    </xf>
    <xf numFmtId="3" fontId="10" fillId="32" borderId="10" xfId="0" applyNumberFormat="1" applyFont="1" applyFill="1" applyBorder="1" applyAlignment="1">
      <alignment/>
    </xf>
    <xf numFmtId="3" fontId="10" fillId="32" borderId="0" xfId="0" applyNumberFormat="1" applyFont="1" applyFill="1" applyBorder="1" applyAlignment="1">
      <alignment/>
    </xf>
    <xf numFmtId="3" fontId="10" fillId="32" borderId="11" xfId="0" applyNumberFormat="1" applyFont="1" applyFill="1" applyBorder="1" applyAlignment="1">
      <alignment/>
    </xf>
    <xf numFmtId="0" fontId="0" fillId="32" borderId="0" xfId="0" applyFill="1" applyAlignment="1">
      <alignment horizontal="center"/>
    </xf>
    <xf numFmtId="4" fontId="0" fillId="32" borderId="0" xfId="0" applyNumberFormat="1" applyFill="1" applyBorder="1" applyAlignment="1">
      <alignment horizontal="center"/>
    </xf>
    <xf numFmtId="3" fontId="3" fillId="32" borderId="0" xfId="0" applyNumberFormat="1" applyFont="1" applyFill="1" applyBorder="1" applyAlignment="1">
      <alignment horizontal="center" textRotation="45"/>
    </xf>
    <xf numFmtId="3" fontId="3" fillId="4" borderId="0" xfId="0" applyNumberFormat="1" applyFont="1" applyFill="1" applyBorder="1" applyAlignment="1">
      <alignment horizontal="center" textRotation="45"/>
    </xf>
    <xf numFmtId="3" fontId="3" fillId="32" borderId="0" xfId="0" applyNumberFormat="1" applyFont="1" applyFill="1" applyBorder="1" applyAlignment="1">
      <alignment horizontal="center" textRotation="45" wrapText="1"/>
    </xf>
    <xf numFmtId="0" fontId="3" fillId="32" borderId="0" xfId="0" applyFont="1" applyFill="1" applyBorder="1" applyAlignment="1">
      <alignment horizontal="center" textRotation="45"/>
    </xf>
    <xf numFmtId="9" fontId="10" fillId="32" borderId="0" xfId="0" applyNumberFormat="1" applyFont="1" applyFill="1" applyBorder="1" applyAlignment="1">
      <alignment horizontal="center"/>
    </xf>
    <xf numFmtId="9" fontId="10" fillId="32" borderId="11" xfId="0" applyNumberFormat="1" applyFont="1" applyFill="1" applyBorder="1" applyAlignment="1">
      <alignment horizontal="center"/>
    </xf>
    <xf numFmtId="4" fontId="0" fillId="32" borderId="11" xfId="0" applyNumberFormat="1" applyFill="1" applyBorder="1" applyAlignment="1">
      <alignment horizontal="center"/>
    </xf>
    <xf numFmtId="3" fontId="7" fillId="32" borderId="0" xfId="0" applyNumberFormat="1" applyFont="1" applyFill="1" applyBorder="1" applyAlignment="1">
      <alignment horizontal="center"/>
    </xf>
    <xf numFmtId="42" fontId="0" fillId="32" borderId="0" xfId="0" applyNumberFormat="1" applyFill="1" applyBorder="1" applyAlignment="1">
      <alignment/>
    </xf>
    <xf numFmtId="0" fontId="8" fillId="32" borderId="0" xfId="0" applyFont="1" applyFill="1" applyBorder="1" applyAlignment="1">
      <alignment/>
    </xf>
    <xf numFmtId="42" fontId="8" fillId="32" borderId="0" xfId="0" applyNumberFormat="1" applyFont="1" applyFill="1" applyBorder="1" applyAlignment="1">
      <alignment/>
    </xf>
    <xf numFmtId="0" fontId="0" fillId="32" borderId="0" xfId="0" applyFont="1" applyFill="1" applyBorder="1" applyAlignment="1">
      <alignment/>
    </xf>
    <xf numFmtId="10" fontId="0" fillId="30" borderId="15" xfId="0" applyNumberFormat="1" applyFill="1" applyBorder="1" applyAlignment="1">
      <alignment/>
    </xf>
    <xf numFmtId="0" fontId="13" fillId="32" borderId="0" xfId="0" applyFont="1" applyFill="1" applyAlignment="1">
      <alignment/>
    </xf>
    <xf numFmtId="3" fontId="0" fillId="32" borderId="0" xfId="0" applyNumberFormat="1" applyFill="1" applyBorder="1" applyAlignment="1">
      <alignment horizontal="left"/>
    </xf>
    <xf numFmtId="0" fontId="0" fillId="32" borderId="0" xfId="0" applyFill="1" applyBorder="1" applyAlignment="1">
      <alignment horizontal="left"/>
    </xf>
    <xf numFmtId="0" fontId="3" fillId="32" borderId="10" xfId="0" applyFont="1" applyFill="1" applyBorder="1" applyAlignment="1">
      <alignment/>
    </xf>
    <xf numFmtId="3" fontId="0" fillId="33" borderId="15" xfId="0" applyNumberFormat="1" applyFill="1" applyBorder="1" applyAlignment="1">
      <alignment/>
    </xf>
    <xf numFmtId="3" fontId="0" fillId="33" borderId="16" xfId="0" applyNumberFormat="1" applyFill="1" applyBorder="1" applyAlignment="1">
      <alignment horizontal="left"/>
    </xf>
    <xf numFmtId="0" fontId="0" fillId="32" borderId="11" xfId="0" applyFill="1" applyBorder="1" applyAlignment="1">
      <alignment horizontal="left"/>
    </xf>
    <xf numFmtId="3" fontId="0" fillId="32" borderId="11" xfId="0" applyNumberFormat="1" applyFill="1" applyBorder="1" applyAlignment="1">
      <alignment horizontal="left"/>
    </xf>
    <xf numFmtId="3" fontId="0" fillId="33" borderId="17" xfId="0" applyNumberFormat="1" applyFill="1" applyBorder="1" applyAlignment="1">
      <alignment horizontal="left"/>
    </xf>
    <xf numFmtId="0" fontId="0" fillId="32" borderId="13" xfId="0" applyFont="1" applyFill="1" applyBorder="1" applyAlignment="1">
      <alignment horizontal="center"/>
    </xf>
    <xf numFmtId="3" fontId="0" fillId="10" borderId="15" xfId="0" applyNumberFormat="1" applyFill="1" applyBorder="1" applyAlignment="1">
      <alignment/>
    </xf>
    <xf numFmtId="3" fontId="0" fillId="10" borderId="0" xfId="0" applyNumberFormat="1" applyFill="1" applyBorder="1" applyAlignment="1">
      <alignment horizontal="left"/>
    </xf>
    <xf numFmtId="3" fontId="0" fillId="10" borderId="11" xfId="0" applyNumberFormat="1" applyFill="1" applyBorder="1" applyAlignment="1">
      <alignment horizontal="left"/>
    </xf>
    <xf numFmtId="0" fontId="3" fillId="32" borderId="10" xfId="0" applyFont="1" applyFill="1" applyBorder="1" applyAlignment="1">
      <alignment vertical="top" wrapText="1"/>
    </xf>
    <xf numFmtId="0" fontId="3" fillId="32" borderId="18" xfId="0" applyFont="1" applyFill="1" applyBorder="1" applyAlignment="1">
      <alignment vertical="top" wrapText="1"/>
    </xf>
    <xf numFmtId="3" fontId="14" fillId="32" borderId="19" xfId="53" applyNumberFormat="1" applyFont="1" applyFill="1" applyBorder="1" applyAlignment="1" applyProtection="1">
      <alignment horizontal="center" textRotation="45"/>
      <protection/>
    </xf>
    <xf numFmtId="164" fontId="3" fillId="32" borderId="14" xfId="0" applyNumberFormat="1" applyFont="1" applyFill="1" applyBorder="1" applyAlignment="1">
      <alignment vertical="top"/>
    </xf>
    <xf numFmtId="3" fontId="2" fillId="32" borderId="10" xfId="53" applyNumberFormat="1" applyFont="1" applyFill="1" applyBorder="1" applyAlignment="1" applyProtection="1">
      <alignment/>
      <protection/>
    </xf>
    <xf numFmtId="0" fontId="2" fillId="0" borderId="18" xfId="53" applyFont="1" applyBorder="1" applyAlignment="1" applyProtection="1">
      <alignment/>
      <protection/>
    </xf>
    <xf numFmtId="9" fontId="0" fillId="32" borderId="0" xfId="0" applyNumberFormat="1" applyFill="1" applyBorder="1" applyAlignment="1">
      <alignment horizontal="left"/>
    </xf>
    <xf numFmtId="9" fontId="0" fillId="32" borderId="11" xfId="0" applyNumberFormat="1" applyFill="1" applyBorder="1" applyAlignment="1">
      <alignment horizontal="left"/>
    </xf>
    <xf numFmtId="10" fontId="0" fillId="10" borderId="0" xfId="0" applyNumberFormat="1" applyFont="1" applyFill="1" applyBorder="1" applyAlignment="1" quotePrefix="1">
      <alignment horizontal="center"/>
    </xf>
    <xf numFmtId="0" fontId="7" fillId="32" borderId="16" xfId="0" applyNumberFormat="1" applyFont="1" applyFill="1" applyBorder="1" applyAlignment="1">
      <alignment/>
    </xf>
    <xf numFmtId="49" fontId="0" fillId="30" borderId="0" xfId="0" applyNumberFormat="1" applyFill="1" applyBorder="1" applyAlignment="1">
      <alignment/>
    </xf>
    <xf numFmtId="49" fontId="0" fillId="30" borderId="0" xfId="0" applyNumberFormat="1" applyFont="1" applyFill="1" applyBorder="1" applyAlignment="1">
      <alignment/>
    </xf>
    <xf numFmtId="3" fontId="0" fillId="33" borderId="0" xfId="0" applyNumberFormat="1" applyFill="1" applyBorder="1" applyAlignment="1">
      <alignment horizontal="left"/>
    </xf>
    <xf numFmtId="3" fontId="0" fillId="33" borderId="11" xfId="0" applyNumberFormat="1" applyFill="1" applyBorder="1" applyAlignment="1">
      <alignment horizontal="left"/>
    </xf>
    <xf numFmtId="0" fontId="0" fillId="30" borderId="0" xfId="0" applyFont="1" applyFill="1" applyAlignment="1">
      <alignment/>
    </xf>
    <xf numFmtId="3" fontId="3" fillId="32" borderId="0" xfId="0" applyNumberFormat="1" applyFont="1" applyFill="1" applyBorder="1" applyAlignment="1">
      <alignment/>
    </xf>
    <xf numFmtId="3" fontId="0" fillId="32" borderId="19" xfId="0" applyNumberFormat="1" applyFill="1" applyBorder="1" applyAlignment="1">
      <alignment horizontal="center"/>
    </xf>
    <xf numFmtId="3" fontId="0" fillId="32" borderId="19" xfId="0" applyNumberFormat="1" applyFill="1" applyBorder="1" applyAlignment="1">
      <alignment/>
    </xf>
    <xf numFmtId="9" fontId="10" fillId="32" borderId="19" xfId="0" applyNumberFormat="1" applyFont="1" applyFill="1" applyBorder="1" applyAlignment="1">
      <alignment horizontal="center"/>
    </xf>
    <xf numFmtId="3" fontId="0" fillId="32" borderId="19" xfId="0" applyNumberFormat="1" applyFont="1" applyFill="1" applyBorder="1" applyAlignment="1">
      <alignment horizontal="center"/>
    </xf>
    <xf numFmtId="0" fontId="0" fillId="30" borderId="20" xfId="0" applyFill="1" applyBorder="1" applyAlignment="1">
      <alignment wrapText="1"/>
    </xf>
    <xf numFmtId="3" fontId="1" fillId="32" borderId="0" xfId="0" applyNumberFormat="1" applyFont="1" applyFill="1" applyAlignment="1">
      <alignment/>
    </xf>
    <xf numFmtId="0" fontId="0" fillId="32" borderId="11" xfId="0" applyFill="1" applyBorder="1" applyAlignment="1">
      <alignment/>
    </xf>
    <xf numFmtId="0" fontId="0" fillId="32" borderId="0" xfId="0" applyFill="1" applyBorder="1" applyAlignment="1">
      <alignment/>
    </xf>
    <xf numFmtId="164" fontId="0" fillId="34" borderId="0" xfId="0" applyNumberFormat="1" applyFont="1" applyFill="1" applyBorder="1" applyAlignment="1">
      <alignment vertical="top"/>
    </xf>
    <xf numFmtId="0" fontId="0" fillId="32" borderId="0" xfId="0" applyFill="1" applyAlignment="1">
      <alignment vertical="top"/>
    </xf>
    <xf numFmtId="0" fontId="0" fillId="32" borderId="0" xfId="0" applyFont="1" applyFill="1" applyAlignment="1">
      <alignment vertical="top" wrapText="1"/>
    </xf>
    <xf numFmtId="42" fontId="0" fillId="32" borderId="0" xfId="0" applyNumberFormat="1" applyFill="1" applyAlignment="1">
      <alignment horizontal="right"/>
    </xf>
    <xf numFmtId="0" fontId="2" fillId="0" borderId="0" xfId="53" applyAlignment="1" applyProtection="1">
      <alignment/>
      <protection/>
    </xf>
    <xf numFmtId="0" fontId="0" fillId="30" borderId="0" xfId="0" applyFont="1" applyFill="1" applyBorder="1" applyAlignment="1">
      <alignment/>
    </xf>
    <xf numFmtId="0" fontId="0" fillId="30" borderId="11" xfId="0" applyFont="1" applyFill="1" applyBorder="1" applyAlignment="1">
      <alignment/>
    </xf>
    <xf numFmtId="0" fontId="3" fillId="0" borderId="0" xfId="0" applyFont="1" applyAlignment="1">
      <alignment/>
    </xf>
    <xf numFmtId="3" fontId="0" fillId="30" borderId="0" xfId="0" applyNumberFormat="1" applyFont="1" applyFill="1" applyBorder="1" applyAlignment="1">
      <alignment horizontal="center"/>
    </xf>
    <xf numFmtId="3" fontId="0" fillId="30" borderId="0" xfId="0" applyNumberFormat="1" applyFill="1" applyBorder="1" applyAlignment="1">
      <alignment horizontal="left"/>
    </xf>
    <xf numFmtId="3" fontId="0" fillId="30" borderId="0" xfId="0" applyNumberFormat="1" applyFont="1" applyFill="1" applyBorder="1" applyAlignment="1">
      <alignment horizontal="left"/>
    </xf>
    <xf numFmtId="0" fontId="0" fillId="0" borderId="0" xfId="0" applyFont="1" applyAlignment="1">
      <alignment/>
    </xf>
    <xf numFmtId="0" fontId="0" fillId="30" borderId="0" xfId="0" applyFont="1" applyFill="1" applyBorder="1" applyAlignment="1">
      <alignment horizontal="center"/>
    </xf>
    <xf numFmtId="0" fontId="2" fillId="30" borderId="0" xfId="53" applyFill="1" applyBorder="1" applyAlignment="1" applyProtection="1">
      <alignment horizontal="center"/>
      <protection/>
    </xf>
    <xf numFmtId="3" fontId="0" fillId="30" borderId="11" xfId="0" applyNumberFormat="1" applyFont="1" applyFill="1" applyBorder="1" applyAlignment="1">
      <alignment horizontal="left"/>
    </xf>
    <xf numFmtId="0" fontId="2" fillId="30" borderId="11" xfId="53" applyFill="1" applyBorder="1" applyAlignment="1" applyProtection="1">
      <alignment horizontal="center"/>
      <protection/>
    </xf>
    <xf numFmtId="0" fontId="0" fillId="32" borderId="14" xfId="0" applyFont="1" applyFill="1" applyBorder="1" applyAlignment="1">
      <alignment horizontal="center"/>
    </xf>
    <xf numFmtId="0" fontId="9" fillId="0" borderId="0" xfId="0" applyFont="1" applyAlignment="1">
      <alignment/>
    </xf>
    <xf numFmtId="0" fontId="9" fillId="32" borderId="0" xfId="0" applyFont="1" applyFill="1" applyAlignment="1">
      <alignment horizontal="center"/>
    </xf>
    <xf numFmtId="0" fontId="16" fillId="34" borderId="0" xfId="0" applyFont="1" applyFill="1" applyAlignment="1">
      <alignment/>
    </xf>
    <xf numFmtId="0" fontId="0" fillId="34" borderId="13" xfId="0" applyFill="1" applyBorder="1" applyAlignment="1">
      <alignment/>
    </xf>
    <xf numFmtId="3" fontId="0" fillId="34" borderId="0" xfId="0" applyNumberFormat="1" applyFont="1" applyFill="1" applyBorder="1" applyAlignment="1">
      <alignment horizontal="left"/>
    </xf>
    <xf numFmtId="0" fontId="0" fillId="34" borderId="0" xfId="0" applyFont="1" applyFill="1" applyBorder="1" applyAlignment="1">
      <alignment horizontal="center"/>
    </xf>
    <xf numFmtId="3" fontId="0" fillId="34" borderId="0" xfId="0" applyNumberFormat="1" applyFill="1" applyBorder="1" applyAlignment="1">
      <alignment horizontal="center"/>
    </xf>
    <xf numFmtId="0" fontId="0" fillId="34" borderId="14" xfId="0" applyFill="1" applyBorder="1" applyAlignment="1">
      <alignment/>
    </xf>
    <xf numFmtId="3" fontId="0" fillId="34" borderId="11" xfId="0" applyNumberFormat="1" applyFill="1" applyBorder="1" applyAlignment="1">
      <alignment horizontal="center"/>
    </xf>
    <xf numFmtId="0" fontId="0" fillId="34" borderId="12" xfId="0" applyFill="1" applyBorder="1" applyAlignment="1">
      <alignment/>
    </xf>
    <xf numFmtId="3" fontId="0" fillId="34" borderId="10" xfId="0" applyNumberFormat="1" applyFont="1" applyFill="1" applyBorder="1" applyAlignment="1">
      <alignment horizontal="left"/>
    </xf>
    <xf numFmtId="0" fontId="0" fillId="34" borderId="10" xfId="0" applyFont="1" applyFill="1" applyBorder="1" applyAlignment="1">
      <alignment horizontal="center"/>
    </xf>
    <xf numFmtId="3" fontId="0" fillId="34" borderId="10" xfId="0" applyNumberFormat="1" applyFill="1" applyBorder="1" applyAlignment="1">
      <alignment horizontal="center"/>
    </xf>
    <xf numFmtId="3" fontId="0" fillId="34" borderId="18" xfId="0" applyNumberFormat="1" applyFill="1" applyBorder="1" applyAlignment="1">
      <alignment horizontal="center"/>
    </xf>
    <xf numFmtId="3" fontId="0" fillId="34" borderId="16" xfId="0" applyNumberFormat="1" applyFill="1" applyBorder="1" applyAlignment="1">
      <alignment horizontal="center"/>
    </xf>
    <xf numFmtId="3" fontId="0" fillId="34" borderId="17" xfId="0" applyNumberFormat="1" applyFill="1" applyBorder="1" applyAlignment="1">
      <alignment horizontal="center"/>
    </xf>
    <xf numFmtId="3" fontId="0" fillId="34" borderId="11" xfId="0" applyNumberFormat="1" applyFont="1" applyFill="1" applyBorder="1" applyAlignment="1">
      <alignment horizontal="left"/>
    </xf>
    <xf numFmtId="0" fontId="0" fillId="34" borderId="11" xfId="0" applyFont="1" applyFill="1" applyBorder="1" applyAlignment="1">
      <alignment horizontal="center"/>
    </xf>
    <xf numFmtId="0" fontId="15" fillId="0" borderId="0" xfId="0" applyFont="1" applyAlignment="1">
      <alignment/>
    </xf>
    <xf numFmtId="0" fontId="1" fillId="0" borderId="0" xfId="0" applyFont="1" applyAlignment="1">
      <alignment/>
    </xf>
    <xf numFmtId="0" fontId="1" fillId="32" borderId="0" xfId="0" applyFont="1" applyFill="1" applyAlignment="1">
      <alignment/>
    </xf>
    <xf numFmtId="0" fontId="2" fillId="32" borderId="0" xfId="53" applyFill="1" applyBorder="1" applyAlignment="1" applyProtection="1">
      <alignment/>
      <protection/>
    </xf>
    <xf numFmtId="0" fontId="0" fillId="32" borderId="0" xfId="0" applyFont="1" applyFill="1" applyAlignment="1">
      <alignment wrapText="1"/>
    </xf>
    <xf numFmtId="0" fontId="3" fillId="31" borderId="0" xfId="0" applyFont="1" applyFill="1" applyAlignment="1">
      <alignment/>
    </xf>
    <xf numFmtId="0" fontId="0" fillId="31" borderId="0" xfId="0" applyFill="1" applyAlignment="1">
      <alignment/>
    </xf>
    <xf numFmtId="3" fontId="3" fillId="0" borderId="0" xfId="0" applyNumberFormat="1" applyFont="1" applyFill="1" applyBorder="1" applyAlignment="1">
      <alignment horizontal="center" textRotation="45"/>
    </xf>
    <xf numFmtId="3" fontId="3" fillId="0" borderId="19" xfId="0" applyNumberFormat="1" applyFont="1" applyFill="1" applyBorder="1" applyAlignment="1">
      <alignment horizontal="center" textRotation="45"/>
    </xf>
    <xf numFmtId="3" fontId="0" fillId="30" borderId="21" xfId="0" applyNumberFormat="1" applyFill="1" applyBorder="1" applyAlignment="1">
      <alignment horizontal="center"/>
    </xf>
    <xf numFmtId="3" fontId="0" fillId="30" borderId="22" xfId="0" applyNumberFormat="1" applyFill="1" applyBorder="1" applyAlignment="1">
      <alignment horizontal="center"/>
    </xf>
    <xf numFmtId="3" fontId="0" fillId="30" borderId="23" xfId="0" applyNumberFormat="1" applyFill="1" applyBorder="1" applyAlignment="1">
      <alignment horizontal="center"/>
    </xf>
    <xf numFmtId="3" fontId="3" fillId="32" borderId="22" xfId="0" applyNumberFormat="1" applyFont="1" applyFill="1" applyBorder="1" applyAlignment="1">
      <alignment horizontal="center" textRotation="45"/>
    </xf>
    <xf numFmtId="3" fontId="3" fillId="32" borderId="24" xfId="0" applyNumberFormat="1" applyFont="1" applyFill="1" applyBorder="1" applyAlignment="1">
      <alignment horizontal="center" textRotation="45"/>
    </xf>
    <xf numFmtId="3" fontId="3" fillId="4" borderId="22" xfId="0" applyNumberFormat="1" applyFont="1" applyFill="1" applyBorder="1" applyAlignment="1">
      <alignment horizontal="center" textRotation="45"/>
    </xf>
    <xf numFmtId="3" fontId="0" fillId="32" borderId="22" xfId="0" applyNumberFormat="1" applyFill="1" applyBorder="1" applyAlignment="1">
      <alignment horizontal="center"/>
    </xf>
    <xf numFmtId="3" fontId="0" fillId="32" borderId="21" xfId="0" applyNumberFormat="1" applyFill="1" applyBorder="1" applyAlignment="1">
      <alignment horizontal="center"/>
    </xf>
    <xf numFmtId="3" fontId="0" fillId="32" borderId="23" xfId="0" applyNumberFormat="1" applyFill="1" applyBorder="1" applyAlignment="1">
      <alignment horizontal="center"/>
    </xf>
    <xf numFmtId="3" fontId="0" fillId="32" borderId="24" xfId="0" applyNumberFormat="1" applyFill="1" applyBorder="1" applyAlignment="1">
      <alignment horizontal="center"/>
    </xf>
    <xf numFmtId="3" fontId="3" fillId="4" borderId="24" xfId="0" applyNumberFormat="1" applyFont="1" applyFill="1" applyBorder="1" applyAlignment="1">
      <alignment horizontal="center" textRotation="45" wrapText="1"/>
    </xf>
    <xf numFmtId="3" fontId="3" fillId="30" borderId="22" xfId="0" applyNumberFormat="1" applyFont="1" applyFill="1" applyBorder="1" applyAlignment="1">
      <alignment horizontal="center"/>
    </xf>
    <xf numFmtId="3" fontId="3" fillId="30" borderId="21" xfId="0" applyNumberFormat="1" applyFont="1" applyFill="1" applyBorder="1" applyAlignment="1">
      <alignment horizontal="center"/>
    </xf>
    <xf numFmtId="3" fontId="3" fillId="30" borderId="23" xfId="0" applyNumberFormat="1" applyFont="1" applyFill="1" applyBorder="1" applyAlignment="1">
      <alignment horizontal="center"/>
    </xf>
    <xf numFmtId="3" fontId="0" fillId="32" borderId="25" xfId="0" applyNumberFormat="1" applyFill="1" applyBorder="1" applyAlignment="1">
      <alignment horizontal="center"/>
    </xf>
    <xf numFmtId="3" fontId="0" fillId="32" borderId="26" xfId="0" applyNumberFormat="1" applyFill="1" applyBorder="1" applyAlignment="1">
      <alignment horizontal="center"/>
    </xf>
    <xf numFmtId="3" fontId="0" fillId="0" borderId="27" xfId="0" applyNumberFormat="1" applyFont="1" applyFill="1" applyBorder="1" applyAlignment="1">
      <alignment horizontal="center"/>
    </xf>
    <xf numFmtId="3" fontId="0" fillId="32" borderId="27" xfId="0" applyNumberFormat="1" applyFill="1" applyBorder="1" applyAlignment="1">
      <alignment horizontal="center"/>
    </xf>
    <xf numFmtId="3" fontId="3" fillId="0" borderId="22" xfId="0" applyNumberFormat="1" applyFont="1" applyFill="1" applyBorder="1" applyAlignment="1">
      <alignment horizontal="center" textRotation="45"/>
    </xf>
    <xf numFmtId="0" fontId="0" fillId="32" borderId="0" xfId="0" applyFont="1" applyFill="1" applyAlignment="1">
      <alignment horizontal="center"/>
    </xf>
    <xf numFmtId="3" fontId="0" fillId="32" borderId="28" xfId="0" applyNumberFormat="1" applyFill="1" applyBorder="1" applyAlignment="1">
      <alignment horizontal="center"/>
    </xf>
    <xf numFmtId="3" fontId="3" fillId="4" borderId="19" xfId="0" applyNumberFormat="1" applyFont="1" applyFill="1" applyBorder="1" applyAlignment="1">
      <alignment horizontal="center" vertical="center" textRotation="45" wrapText="1"/>
    </xf>
    <xf numFmtId="3" fontId="3" fillId="0" borderId="19" xfId="0" applyNumberFormat="1" applyFont="1" applyFill="1" applyBorder="1" applyAlignment="1">
      <alignment horizontal="center" textRotation="45" wrapText="1"/>
    </xf>
    <xf numFmtId="3" fontId="3" fillId="0" borderId="24" xfId="0" applyNumberFormat="1" applyFont="1" applyFill="1" applyBorder="1" applyAlignment="1">
      <alignment horizontal="center" textRotation="45"/>
    </xf>
    <xf numFmtId="3" fontId="0" fillId="30" borderId="21" xfId="0" applyNumberFormat="1" applyFont="1" applyFill="1" applyBorder="1" applyAlignment="1">
      <alignment horizontal="center"/>
    </xf>
    <xf numFmtId="0" fontId="0" fillId="30" borderId="21" xfId="0" applyFont="1" applyFill="1" applyBorder="1" applyAlignment="1">
      <alignment horizontal="center"/>
    </xf>
    <xf numFmtId="49" fontId="0" fillId="30" borderId="21" xfId="0" applyNumberFormat="1" applyFont="1" applyFill="1" applyBorder="1" applyAlignment="1">
      <alignment horizontal="center"/>
    </xf>
    <xf numFmtId="49" fontId="0" fillId="30" borderId="21" xfId="0" applyNumberFormat="1" applyFill="1" applyBorder="1" applyAlignment="1">
      <alignment horizontal="center"/>
    </xf>
    <xf numFmtId="0" fontId="0" fillId="30" borderId="23" xfId="0" applyFont="1" applyFill="1" applyBorder="1" applyAlignment="1">
      <alignment horizontal="center"/>
    </xf>
    <xf numFmtId="0" fontId="0" fillId="30" borderId="29" xfId="0" applyFont="1" applyFill="1" applyBorder="1" applyAlignment="1">
      <alignment/>
    </xf>
    <xf numFmtId="0" fontId="0" fillId="30" borderId="30" xfId="0" applyFont="1" applyFill="1" applyBorder="1" applyAlignment="1">
      <alignment/>
    </xf>
    <xf numFmtId="0" fontId="0" fillId="30" borderId="30" xfId="0" applyFill="1" applyBorder="1" applyAlignment="1">
      <alignment/>
    </xf>
    <xf numFmtId="0" fontId="0" fillId="30" borderId="31" xfId="0" applyFont="1" applyFill="1" applyBorder="1" applyAlignment="1">
      <alignment/>
    </xf>
    <xf numFmtId="3" fontId="3" fillId="4" borderId="25" xfId="0" applyNumberFormat="1" applyFont="1" applyFill="1" applyBorder="1" applyAlignment="1">
      <alignment horizontal="center" textRotation="45"/>
    </xf>
    <xf numFmtId="3" fontId="3" fillId="4" borderId="28" xfId="0" applyNumberFormat="1" applyFont="1" applyFill="1" applyBorder="1" applyAlignment="1">
      <alignment horizontal="center" textRotation="45" wrapText="1"/>
    </xf>
    <xf numFmtId="3" fontId="0" fillId="30" borderId="25" xfId="0" applyNumberFormat="1" applyFont="1" applyFill="1" applyBorder="1" applyAlignment="1">
      <alignment horizontal="center"/>
    </xf>
    <xf numFmtId="3" fontId="0" fillId="30" borderId="26" xfId="0" applyNumberFormat="1" applyFont="1" applyFill="1" applyBorder="1" applyAlignment="1">
      <alignment horizontal="center"/>
    </xf>
    <xf numFmtId="3" fontId="0" fillId="30" borderId="27" xfId="0" applyNumberFormat="1" applyFont="1" applyFill="1" applyBorder="1" applyAlignment="1">
      <alignment horizontal="center"/>
    </xf>
    <xf numFmtId="0" fontId="0" fillId="32" borderId="0" xfId="0" applyFont="1" applyFill="1" applyAlignment="1">
      <alignment/>
    </xf>
    <xf numFmtId="0" fontId="46" fillId="35" borderId="0" xfId="49" applyFill="1" applyBorder="1" applyAlignment="1">
      <alignment/>
    </xf>
    <xf numFmtId="0" fontId="0" fillId="35" borderId="0" xfId="0" applyFill="1" applyAlignment="1">
      <alignment/>
    </xf>
    <xf numFmtId="0" fontId="12" fillId="35" borderId="0" xfId="0" applyFont="1" applyFill="1" applyAlignment="1">
      <alignment/>
    </xf>
    <xf numFmtId="0" fontId="15" fillId="35" borderId="0" xfId="0" applyFont="1" applyFill="1" applyAlignment="1">
      <alignment/>
    </xf>
    <xf numFmtId="164" fontId="20" fillId="35" borderId="0" xfId="0" applyNumberFormat="1" applyFont="1" applyFill="1" applyAlignment="1">
      <alignment/>
    </xf>
    <xf numFmtId="0" fontId="20" fillId="35" borderId="0" xfId="0" applyFont="1" applyFill="1" applyAlignment="1">
      <alignment/>
    </xf>
    <xf numFmtId="3" fontId="0" fillId="30" borderId="0" xfId="0" applyNumberFormat="1" applyFont="1" applyFill="1" applyBorder="1" applyAlignment="1">
      <alignment horizontal="left"/>
    </xf>
    <xf numFmtId="3" fontId="0" fillId="30" borderId="22" xfId="0" applyNumberFormat="1" applyFont="1" applyFill="1" applyBorder="1" applyAlignment="1">
      <alignment horizontal="center"/>
    </xf>
    <xf numFmtId="3" fontId="3" fillId="36" borderId="19" xfId="0" applyNumberFormat="1" applyFont="1" applyFill="1" applyBorder="1" applyAlignment="1">
      <alignment horizontal="center" textRotation="45"/>
    </xf>
    <xf numFmtId="3" fontId="3" fillId="36" borderId="24" xfId="0" applyNumberFormat="1" applyFont="1" applyFill="1" applyBorder="1" applyAlignment="1">
      <alignment horizontal="center" textRotation="45"/>
    </xf>
    <xf numFmtId="3" fontId="3" fillId="36" borderId="0" xfId="0" applyNumberFormat="1" applyFont="1" applyFill="1" applyBorder="1" applyAlignment="1">
      <alignment horizontal="center" textRotation="45"/>
    </xf>
    <xf numFmtId="3" fontId="3" fillId="36" borderId="22" xfId="0" applyNumberFormat="1" applyFont="1" applyFill="1" applyBorder="1" applyAlignment="1">
      <alignment horizontal="center" textRotation="45"/>
    </xf>
    <xf numFmtId="3" fontId="3" fillId="36" borderId="24" xfId="0" applyNumberFormat="1" applyFont="1" applyFill="1" applyBorder="1" applyAlignment="1">
      <alignment horizontal="center" textRotation="45" wrapText="1"/>
    </xf>
    <xf numFmtId="0" fontId="3" fillId="35" borderId="0" xfId="0" applyFont="1" applyFill="1" applyAlignment="1">
      <alignment/>
    </xf>
    <xf numFmtId="164" fontId="0" fillId="35" borderId="0" xfId="0" applyNumberFormat="1" applyFill="1" applyAlignment="1">
      <alignment/>
    </xf>
    <xf numFmtId="3" fontId="3" fillId="37" borderId="24" xfId="0" applyNumberFormat="1" applyFont="1" applyFill="1" applyBorder="1" applyAlignment="1">
      <alignment horizontal="center" textRotation="45"/>
    </xf>
    <xf numFmtId="3" fontId="3" fillId="37" borderId="22" xfId="0" applyNumberFormat="1" applyFont="1" applyFill="1" applyBorder="1" applyAlignment="1">
      <alignment horizontal="center" textRotation="45"/>
    </xf>
    <xf numFmtId="164" fontId="12" fillId="35" borderId="0" xfId="0" applyNumberFormat="1" applyFont="1" applyFill="1" applyBorder="1" applyAlignment="1">
      <alignment horizontal="right"/>
    </xf>
    <xf numFmtId="10" fontId="12" fillId="38" borderId="0" xfId="0" applyNumberFormat="1" applyFont="1" applyFill="1" applyBorder="1" applyAlignment="1">
      <alignment horizontal="right"/>
    </xf>
    <xf numFmtId="164" fontId="12" fillId="38" borderId="0" xfId="0" applyNumberFormat="1" applyFont="1" applyFill="1" applyBorder="1" applyAlignment="1">
      <alignment horizontal="right"/>
    </xf>
    <xf numFmtId="164" fontId="0" fillId="38" borderId="0" xfId="0" applyNumberFormat="1" applyFill="1" applyAlignment="1">
      <alignment/>
    </xf>
    <xf numFmtId="3" fontId="0" fillId="0" borderId="0" xfId="0" applyNumberFormat="1" applyFill="1" applyBorder="1" applyAlignment="1">
      <alignment/>
    </xf>
    <xf numFmtId="3" fontId="0" fillId="35" borderId="0" xfId="0" applyNumberFormat="1" applyFill="1" applyBorder="1" applyAlignment="1">
      <alignment/>
    </xf>
    <xf numFmtId="0" fontId="0" fillId="32" borderId="0" xfId="0" applyFont="1" applyFill="1" applyBorder="1" applyAlignment="1">
      <alignment/>
    </xf>
    <xf numFmtId="0" fontId="0" fillId="38" borderId="0" xfId="0" applyFill="1" applyAlignment="1">
      <alignment/>
    </xf>
    <xf numFmtId="3" fontId="3" fillId="39" borderId="0" xfId="0" applyNumberFormat="1" applyFont="1" applyFill="1" applyBorder="1" applyAlignment="1">
      <alignment/>
    </xf>
    <xf numFmtId="0" fontId="0" fillId="35" borderId="0" xfId="0" applyFont="1" applyFill="1" applyAlignment="1">
      <alignment/>
    </xf>
    <xf numFmtId="0" fontId="0" fillId="38" borderId="0" xfId="0" applyFill="1" applyAlignment="1">
      <alignment horizontal="center"/>
    </xf>
    <xf numFmtId="3" fontId="0" fillId="40" borderId="19" xfId="0" applyNumberFormat="1" applyFill="1" applyBorder="1" applyAlignment="1">
      <alignment horizontal="center"/>
    </xf>
    <xf numFmtId="3" fontId="3" fillId="35" borderId="0" xfId="0" applyNumberFormat="1" applyFont="1" applyFill="1" applyBorder="1" applyAlignment="1">
      <alignment/>
    </xf>
    <xf numFmtId="3" fontId="0" fillId="35" borderId="0" xfId="0" applyNumberFormat="1" applyFill="1" applyBorder="1" applyAlignment="1">
      <alignment horizontal="center"/>
    </xf>
    <xf numFmtId="3" fontId="3" fillId="35" borderId="32" xfId="0" applyNumberFormat="1" applyFont="1" applyFill="1" applyBorder="1" applyAlignment="1">
      <alignment horizontal="center"/>
    </xf>
    <xf numFmtId="3" fontId="0" fillId="38" borderId="0" xfId="0" applyNumberFormat="1" applyFill="1" applyAlignment="1">
      <alignment horizontal="center"/>
    </xf>
    <xf numFmtId="0" fontId="3" fillId="35" borderId="0" xfId="0" applyFont="1" applyFill="1" applyAlignment="1" quotePrefix="1">
      <alignment/>
    </xf>
    <xf numFmtId="0" fontId="0" fillId="30" borderId="33" xfId="0" applyFont="1" applyFill="1" applyBorder="1" applyAlignment="1">
      <alignment/>
    </xf>
    <xf numFmtId="3" fontId="0" fillId="35" borderId="34" xfId="0" applyNumberFormat="1" applyFont="1" applyFill="1" applyBorder="1" applyAlignment="1">
      <alignment horizontal="center"/>
    </xf>
    <xf numFmtId="3" fontId="0" fillId="35" borderId="0" xfId="0" applyNumberFormat="1" applyFill="1" applyAlignment="1">
      <alignment horizontal="center"/>
    </xf>
    <xf numFmtId="0" fontId="3" fillId="0" borderId="0" xfId="0" applyFont="1" applyAlignment="1">
      <alignment horizontal="center" vertical="center" wrapText="1"/>
    </xf>
    <xf numFmtId="0" fontId="0" fillId="0" borderId="0" xfId="0" applyAlignment="1">
      <alignment vertical="center" wrapText="1"/>
    </xf>
    <xf numFmtId="10" fontId="0" fillId="35" borderId="0" xfId="0" applyNumberFormat="1" applyFill="1" applyAlignment="1">
      <alignment/>
    </xf>
    <xf numFmtId="164" fontId="0" fillId="35" borderId="17" xfId="0" applyNumberFormat="1" applyFont="1" applyFill="1" applyBorder="1" applyAlignment="1">
      <alignment vertical="top"/>
    </xf>
    <xf numFmtId="164" fontId="0" fillId="35" borderId="16" xfId="0" applyNumberFormat="1" applyFill="1" applyBorder="1" applyAlignment="1">
      <alignment/>
    </xf>
    <xf numFmtId="3" fontId="0" fillId="35" borderId="0" xfId="53" applyNumberFormat="1" applyFont="1" applyFill="1" applyBorder="1" applyAlignment="1" applyProtection="1">
      <alignment/>
      <protection/>
    </xf>
    <xf numFmtId="0" fontId="21" fillId="32" borderId="0" xfId="0" applyFont="1" applyFill="1" applyBorder="1" applyAlignment="1">
      <alignment/>
    </xf>
    <xf numFmtId="0" fontId="17" fillId="32" borderId="13" xfId="0" applyFont="1" applyFill="1" applyBorder="1" applyAlignment="1">
      <alignment/>
    </xf>
    <xf numFmtId="3" fontId="21" fillId="30" borderId="15" xfId="0" applyNumberFormat="1" applyFont="1" applyFill="1" applyBorder="1" applyAlignment="1">
      <alignment horizontal="left"/>
    </xf>
    <xf numFmtId="0" fontId="17" fillId="32" borderId="0" xfId="0" applyFont="1" applyFill="1" applyBorder="1" applyAlignment="1">
      <alignment/>
    </xf>
    <xf numFmtId="3" fontId="21" fillId="10" borderId="0" xfId="0" applyNumberFormat="1" applyFont="1" applyFill="1" applyBorder="1" applyAlignment="1">
      <alignment horizontal="left"/>
    </xf>
    <xf numFmtId="3" fontId="21" fillId="33" borderId="0" xfId="0" applyNumberFormat="1" applyFont="1" applyFill="1" applyBorder="1" applyAlignment="1">
      <alignment horizontal="left"/>
    </xf>
    <xf numFmtId="3" fontId="21" fillId="33" borderId="16" xfId="0" applyNumberFormat="1" applyFont="1" applyFill="1" applyBorder="1" applyAlignment="1">
      <alignment horizontal="left"/>
    </xf>
    <xf numFmtId="0" fontId="21" fillId="32" borderId="0" xfId="0" applyFont="1" applyFill="1" applyAlignment="1">
      <alignment/>
    </xf>
    <xf numFmtId="3" fontId="21" fillId="35" borderId="0" xfId="0" applyNumberFormat="1" applyFont="1" applyFill="1" applyBorder="1" applyAlignment="1">
      <alignment horizontal="left"/>
    </xf>
    <xf numFmtId="3" fontId="0" fillId="35" borderId="0" xfId="0" applyNumberFormat="1" applyFill="1" applyBorder="1" applyAlignment="1">
      <alignment horizontal="left"/>
    </xf>
    <xf numFmtId="3" fontId="0" fillId="35" borderId="11" xfId="0" applyNumberFormat="1" applyFill="1" applyBorder="1" applyAlignment="1">
      <alignment horizontal="left"/>
    </xf>
    <xf numFmtId="9" fontId="56" fillId="32" borderId="0" xfId="0" applyNumberFormat="1" applyFont="1" applyFill="1" applyBorder="1" applyAlignment="1">
      <alignment/>
    </xf>
    <xf numFmtId="9" fontId="0" fillId="38" borderId="16" xfId="0" applyNumberFormat="1" applyFill="1" applyBorder="1" applyAlignment="1">
      <alignment/>
    </xf>
    <xf numFmtId="9" fontId="0" fillId="38" borderId="17" xfId="0" applyNumberFormat="1" applyFill="1" applyBorder="1" applyAlignment="1">
      <alignment/>
    </xf>
    <xf numFmtId="10" fontId="0" fillId="38" borderId="0" xfId="0" applyNumberFormat="1" applyFill="1" applyAlignment="1">
      <alignment/>
    </xf>
    <xf numFmtId="9" fontId="0" fillId="32" borderId="0" xfId="0" applyNumberFormat="1" applyFill="1" applyBorder="1" applyAlignment="1" quotePrefix="1">
      <alignment/>
    </xf>
    <xf numFmtId="173" fontId="0" fillId="32" borderId="0" xfId="0" applyNumberFormat="1" applyFill="1" applyBorder="1" applyAlignment="1">
      <alignment horizontal="center"/>
    </xf>
    <xf numFmtId="173" fontId="0" fillId="32" borderId="11" xfId="0" applyNumberFormat="1" applyFill="1" applyBorder="1" applyAlignment="1">
      <alignment horizontal="center"/>
    </xf>
    <xf numFmtId="173" fontId="0" fillId="32" borderId="19" xfId="0" applyNumberFormat="1" applyFill="1" applyBorder="1" applyAlignment="1">
      <alignment horizontal="center"/>
    </xf>
    <xf numFmtId="9" fontId="57" fillId="32" borderId="0" xfId="0" applyNumberFormat="1" applyFont="1" applyFill="1" applyBorder="1" applyAlignment="1">
      <alignment horizontal="center"/>
    </xf>
    <xf numFmtId="9" fontId="57" fillId="32" borderId="11" xfId="0" applyNumberFormat="1" applyFont="1" applyFill="1" applyBorder="1" applyAlignment="1">
      <alignment horizontal="center"/>
    </xf>
    <xf numFmtId="10" fontId="0" fillId="30" borderId="11" xfId="0" applyNumberFormat="1" applyFill="1" applyBorder="1" applyAlignment="1">
      <alignment horizontal="center"/>
    </xf>
    <xf numFmtId="10" fontId="0" fillId="10" borderId="11" xfId="0" applyNumberFormat="1" applyFont="1" applyFill="1" applyBorder="1" applyAlignment="1" quotePrefix="1">
      <alignment horizontal="center"/>
    </xf>
    <xf numFmtId="10" fontId="0" fillId="10" borderId="16" xfId="0" applyNumberFormat="1" applyFont="1" applyFill="1" applyBorder="1" applyAlignment="1" quotePrefix="1">
      <alignment horizontal="center"/>
    </xf>
    <xf numFmtId="10" fontId="0" fillId="10" borderId="17" xfId="0" applyNumberFormat="1" applyFont="1" applyFill="1" applyBorder="1" applyAlignment="1" quotePrefix="1">
      <alignment horizontal="center"/>
    </xf>
    <xf numFmtId="0" fontId="0" fillId="38" borderId="0" xfId="0" applyFont="1" applyFill="1" applyAlignment="1">
      <alignment horizontal="center"/>
    </xf>
    <xf numFmtId="0" fontId="0" fillId="32" borderId="0" xfId="0" applyFill="1" applyAlignment="1">
      <alignment horizontal="center"/>
    </xf>
    <xf numFmtId="0" fontId="46" fillId="35" borderId="0" xfId="49" applyFill="1" applyBorder="1" applyAlignment="1">
      <alignment horizontal="left"/>
    </xf>
    <xf numFmtId="0" fontId="9" fillId="32" borderId="0" xfId="0" applyFont="1" applyFill="1" applyAlignment="1">
      <alignment horizontal="center"/>
    </xf>
    <xf numFmtId="0" fontId="3" fillId="41" borderId="0" xfId="0" applyFont="1" applyFill="1" applyAlignment="1">
      <alignment horizontal="center" vertical="center" wrapText="1"/>
    </xf>
    <xf numFmtId="3" fontId="0" fillId="35" borderId="33" xfId="0" applyNumberFormat="1" applyFill="1" applyBorder="1" applyAlignment="1">
      <alignment horizontal="center"/>
    </xf>
    <xf numFmtId="3" fontId="0" fillId="35" borderId="19" xfId="0" applyNumberFormat="1" applyFill="1" applyBorder="1" applyAlignment="1">
      <alignment horizontal="center"/>
    </xf>
    <xf numFmtId="3" fontId="0" fillId="35" borderId="20" xfId="0" applyNumberFormat="1" applyFill="1" applyBorder="1" applyAlignment="1">
      <alignment horizontal="center"/>
    </xf>
    <xf numFmtId="42" fontId="12" fillId="32" borderId="0" xfId="0" applyNumberFormat="1" applyFont="1" applyFill="1" applyAlignment="1">
      <alignment/>
    </xf>
    <xf numFmtId="0" fontId="0" fillId="32" borderId="33" xfId="0" applyFill="1" applyBorder="1" applyAlignment="1">
      <alignment/>
    </xf>
    <xf numFmtId="0" fontId="0" fillId="35" borderId="0" xfId="0" applyFill="1" applyBorder="1" applyAlignment="1">
      <alignment/>
    </xf>
    <xf numFmtId="3" fontId="0" fillId="30" borderId="15" xfId="0" applyNumberForma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676275</xdr:colOff>
      <xdr:row>5</xdr:row>
      <xdr:rowOff>66675</xdr:rowOff>
    </xdr:to>
    <xdr:pic>
      <xdr:nvPicPr>
        <xdr:cNvPr id="1" name="Picture 1">
          <a:hlinkClick r:id="rId3"/>
        </xdr:cNvPr>
        <xdr:cNvPicPr preferRelativeResize="1">
          <a:picLocks noChangeAspect="1"/>
        </xdr:cNvPicPr>
      </xdr:nvPicPr>
      <xdr:blipFill>
        <a:blip r:embed="rId1"/>
        <a:stretch>
          <a:fillRect/>
        </a:stretch>
      </xdr:blipFill>
      <xdr:spPr>
        <a:xfrm>
          <a:off x="723900" y="161925"/>
          <a:ext cx="14001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28575</xdr:rowOff>
    </xdr:from>
    <xdr:to>
      <xdr:col>3</xdr:col>
      <xdr:colOff>219075</xdr:colOff>
      <xdr:row>4</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552450" y="28575"/>
          <a:ext cx="139065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85725</xdr:rowOff>
    </xdr:from>
    <xdr:to>
      <xdr:col>2</xdr:col>
      <xdr:colOff>1447800</xdr:colOff>
      <xdr:row>4</xdr:row>
      <xdr:rowOff>57150</xdr:rowOff>
    </xdr:to>
    <xdr:pic>
      <xdr:nvPicPr>
        <xdr:cNvPr id="1" name="Picture 1">
          <a:hlinkClick r:id="rId3"/>
        </xdr:cNvPr>
        <xdr:cNvPicPr preferRelativeResize="1">
          <a:picLocks noChangeAspect="1"/>
        </xdr:cNvPicPr>
      </xdr:nvPicPr>
      <xdr:blipFill>
        <a:blip r:embed="rId1"/>
        <a:stretch>
          <a:fillRect/>
        </a:stretch>
      </xdr:blipFill>
      <xdr:spPr>
        <a:xfrm>
          <a:off x="647700" y="85725"/>
          <a:ext cx="140970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28575</xdr:rowOff>
    </xdr:from>
    <xdr:to>
      <xdr:col>2</xdr:col>
      <xdr:colOff>1400175</xdr:colOff>
      <xdr:row>4</xdr:row>
      <xdr:rowOff>438150</xdr:rowOff>
    </xdr:to>
    <xdr:pic>
      <xdr:nvPicPr>
        <xdr:cNvPr id="1" name="Picture 1">
          <a:hlinkClick r:id="rId3"/>
        </xdr:cNvPr>
        <xdr:cNvPicPr preferRelativeResize="1">
          <a:picLocks noChangeAspect="1"/>
        </xdr:cNvPicPr>
      </xdr:nvPicPr>
      <xdr:blipFill>
        <a:blip r:embed="rId1"/>
        <a:stretch>
          <a:fillRect/>
        </a:stretch>
      </xdr:blipFill>
      <xdr:spPr>
        <a:xfrm>
          <a:off x="866775" y="190500"/>
          <a:ext cx="140017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2</xdr:col>
      <xdr:colOff>476250</xdr:colOff>
      <xdr:row>5</xdr:row>
      <xdr:rowOff>85725</xdr:rowOff>
    </xdr:to>
    <xdr:pic>
      <xdr:nvPicPr>
        <xdr:cNvPr id="1" name="Picture 1">
          <a:hlinkClick r:id="rId3"/>
        </xdr:cNvPr>
        <xdr:cNvPicPr preferRelativeResize="1">
          <a:picLocks noChangeAspect="1"/>
        </xdr:cNvPicPr>
      </xdr:nvPicPr>
      <xdr:blipFill>
        <a:blip r:embed="rId1"/>
        <a:stretch>
          <a:fillRect/>
        </a:stretch>
      </xdr:blipFill>
      <xdr:spPr>
        <a:xfrm>
          <a:off x="304800" y="123825"/>
          <a:ext cx="13906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1</xdr:row>
      <xdr:rowOff>38100</xdr:rowOff>
    </xdr:from>
    <xdr:to>
      <xdr:col>2</xdr:col>
      <xdr:colOff>304800</xdr:colOff>
      <xdr:row>5</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342900" y="200025"/>
          <a:ext cx="1409700"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85725</xdr:rowOff>
    </xdr:from>
    <xdr:to>
      <xdr:col>2</xdr:col>
      <xdr:colOff>1390650</xdr:colOff>
      <xdr:row>5</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742950" y="85725"/>
          <a:ext cx="14001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104775</xdr:rowOff>
    </xdr:from>
    <xdr:to>
      <xdr:col>2</xdr:col>
      <xdr:colOff>1095375</xdr:colOff>
      <xdr:row>5</xdr:row>
      <xdr:rowOff>66675</xdr:rowOff>
    </xdr:to>
    <xdr:pic>
      <xdr:nvPicPr>
        <xdr:cNvPr id="1" name="Picture 1">
          <a:hlinkClick r:id="rId3"/>
        </xdr:cNvPr>
        <xdr:cNvPicPr preferRelativeResize="1">
          <a:picLocks noChangeAspect="1"/>
        </xdr:cNvPicPr>
      </xdr:nvPicPr>
      <xdr:blipFill>
        <a:blip r:embed="rId1"/>
        <a:stretch>
          <a:fillRect/>
        </a:stretch>
      </xdr:blipFill>
      <xdr:spPr>
        <a:xfrm>
          <a:off x="295275" y="104775"/>
          <a:ext cx="13811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rantan.nu/kbg.php"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oupplysningen.se/" TargetMode="External" /><Relationship Id="rId2" Type="http://schemas.openxmlformats.org/officeDocument/2006/relationships/hyperlink" Target="http://www.booli.se/" TargetMode="External" /><Relationship Id="rId3" Type="http://schemas.openxmlformats.org/officeDocument/2006/relationships/hyperlink" Target="http://www.hemnet.se/" TargetMode="External" /><Relationship Id="rId4" Type="http://schemas.openxmlformats.org/officeDocument/2006/relationships/hyperlink" Target="http://www.bovision.se"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hyperlink" Target="http://www.boupplysningen.se/kopa-bostad-guiden/checklista-vid-visningen/" TargetMode="External" /><Relationship Id="rId2" Type="http://schemas.openxmlformats.org/officeDocument/2006/relationships/hyperlink" Target="http://www.boupplysningen.se/" TargetMode="External" /></Relationships>
</file>

<file path=xl/worksheets/sheet1.xml><?xml version="1.0" encoding="utf-8"?>
<worksheet xmlns="http://schemas.openxmlformats.org/spreadsheetml/2006/main" xmlns:r="http://schemas.openxmlformats.org/officeDocument/2006/relationships">
  <dimension ref="B2:N39"/>
  <sheetViews>
    <sheetView tabSelected="1" workbookViewId="0" topLeftCell="A1">
      <selection activeCell="G36" sqref="G36"/>
    </sheetView>
  </sheetViews>
  <sheetFormatPr defaultColWidth="11.421875" defaultRowHeight="12.75"/>
  <cols>
    <col min="1" max="5" width="10.8515625" style="248" customWidth="1"/>
    <col min="6" max="6" width="23.140625" style="248" customWidth="1"/>
    <col min="7" max="7" width="10.8515625" style="248" customWidth="1"/>
    <col min="8" max="8" width="2.00390625" style="248" customWidth="1"/>
    <col min="9" max="16384" width="10.8515625" style="248" customWidth="1"/>
  </cols>
  <sheetData>
    <row r="1" ht="12.75"/>
    <row r="2" spans="6:14" ht="19.5">
      <c r="F2" s="317" t="s">
        <v>387</v>
      </c>
      <c r="G2" s="317"/>
      <c r="H2" s="317"/>
      <c r="I2" s="317"/>
      <c r="J2" s="317"/>
      <c r="K2" s="317"/>
      <c r="L2" s="317"/>
      <c r="M2" s="317"/>
      <c r="N2" s="317"/>
    </row>
    <row r="3" ht="12.75">
      <c r="F3" s="248" t="s">
        <v>388</v>
      </c>
    </row>
    <row r="4" ht="12.75"/>
    <row r="5" ht="12.75"/>
    <row r="6" ht="12.75"/>
    <row r="7" ht="12.75">
      <c r="F7" s="260" t="s">
        <v>389</v>
      </c>
    </row>
    <row r="8" spans="6:7" ht="12.75">
      <c r="F8" s="273" t="s">
        <v>404</v>
      </c>
      <c r="G8" s="274" t="s">
        <v>363</v>
      </c>
    </row>
    <row r="9" spans="6:9" ht="12.75">
      <c r="F9" s="248" t="s">
        <v>390</v>
      </c>
      <c r="G9" s="267">
        <v>1500000</v>
      </c>
      <c r="I9" s="248" t="s">
        <v>393</v>
      </c>
    </row>
    <row r="10" spans="6:9" ht="12.75">
      <c r="F10" s="248" t="s">
        <v>398</v>
      </c>
      <c r="G10" s="267">
        <f>2.5%*G9</f>
        <v>37500</v>
      </c>
      <c r="I10" s="248" t="s">
        <v>393</v>
      </c>
    </row>
    <row r="11" spans="6:7" ht="12.75">
      <c r="F11" s="248" t="s">
        <v>412</v>
      </c>
      <c r="G11" s="261">
        <f>G9-G10</f>
        <v>1462500</v>
      </c>
    </row>
    <row r="12" spans="2:7" ht="12.75">
      <c r="B12" s="260" t="s">
        <v>397</v>
      </c>
      <c r="F12" s="248" t="s">
        <v>405</v>
      </c>
      <c r="G12" s="279">
        <v>45</v>
      </c>
    </row>
    <row r="13" spans="2:7" ht="12.75">
      <c r="B13" s="315" t="s">
        <v>232</v>
      </c>
      <c r="C13" s="315"/>
      <c r="D13" s="315"/>
      <c r="G13" s="283"/>
    </row>
    <row r="14" spans="2:6" ht="12.75">
      <c r="B14" s="316" t="s">
        <v>13</v>
      </c>
      <c r="C14" s="316"/>
      <c r="D14" s="316"/>
      <c r="F14" s="280" t="s">
        <v>407</v>
      </c>
    </row>
    <row r="15" spans="6:9" ht="12.75">
      <c r="F15" s="248" t="s">
        <v>187</v>
      </c>
      <c r="G15" s="267">
        <v>1500</v>
      </c>
      <c r="I15" s="248" t="s">
        <v>411</v>
      </c>
    </row>
    <row r="16" ht="12.75">
      <c r="G16" s="261"/>
    </row>
    <row r="17" ht="12.75">
      <c r="F17" s="280" t="s">
        <v>406</v>
      </c>
    </row>
    <row r="18" spans="6:9" ht="12.75">
      <c r="F18" s="248" t="s">
        <v>408</v>
      </c>
      <c r="G18" s="271">
        <v>0</v>
      </c>
      <c r="I18" s="248" t="s">
        <v>410</v>
      </c>
    </row>
    <row r="19" spans="6:9" ht="12.75">
      <c r="F19" s="248" t="s">
        <v>409</v>
      </c>
      <c r="G19" s="271">
        <v>0</v>
      </c>
      <c r="I19" s="248" t="s">
        <v>410</v>
      </c>
    </row>
    <row r="20" ht="12.75"/>
    <row r="21" spans="6:7" ht="12.75">
      <c r="F21" s="260" t="s">
        <v>391</v>
      </c>
      <c r="G21" s="261"/>
    </row>
    <row r="22" spans="6:9" ht="12.75">
      <c r="F22" s="248" t="s">
        <v>392</v>
      </c>
      <c r="G22" s="267">
        <v>50000</v>
      </c>
      <c r="I22" s="248" t="s">
        <v>431</v>
      </c>
    </row>
    <row r="23" spans="6:9" ht="12.75">
      <c r="F23" s="248" t="s">
        <v>429</v>
      </c>
      <c r="G23" s="267">
        <v>1000</v>
      </c>
      <c r="I23" s="248" t="s">
        <v>430</v>
      </c>
    </row>
    <row r="24" ht="12.75"/>
    <row r="25" ht="12.75"/>
    <row r="26" ht="12.75">
      <c r="F26" s="260" t="s">
        <v>204</v>
      </c>
    </row>
    <row r="27" spans="6:9" ht="12">
      <c r="F27" s="273" t="s">
        <v>432</v>
      </c>
      <c r="G27" s="289" t="str">
        <f>VLOOKUP("x",Låneuppgifter!B10:C18,2)</f>
        <v>Ikanobanken</v>
      </c>
      <c r="I27" s="248" t="s">
        <v>433</v>
      </c>
    </row>
    <row r="28" spans="6:7" ht="12">
      <c r="F28" s="248" t="s">
        <v>399</v>
      </c>
      <c r="G28" s="271">
        <v>1000000</v>
      </c>
    </row>
    <row r="29" spans="6:7" ht="12">
      <c r="F29" s="248" t="s">
        <v>426</v>
      </c>
      <c r="G29" s="286">
        <f>Låneuppgifter!K21</f>
        <v>0.026699999999999998</v>
      </c>
    </row>
    <row r="30" spans="6:7" ht="12">
      <c r="F30" s="248" t="s">
        <v>402</v>
      </c>
      <c r="G30" s="271">
        <v>0</v>
      </c>
    </row>
    <row r="31" spans="6:7" ht="12">
      <c r="F31" s="248" t="s">
        <v>403</v>
      </c>
      <c r="G31" s="286">
        <f>Låneuppgifter!K22</f>
        <v>0.045</v>
      </c>
    </row>
    <row r="33" ht="12">
      <c r="F33" s="248" t="s">
        <v>414</v>
      </c>
    </row>
    <row r="34" ht="12">
      <c r="F34" s="248" t="s">
        <v>427</v>
      </c>
    </row>
    <row r="36" ht="12">
      <c r="F36" s="248" t="s">
        <v>428</v>
      </c>
    </row>
    <row r="38" ht="12">
      <c r="F38" s="260" t="s">
        <v>441</v>
      </c>
    </row>
    <row r="39" spans="6:9" ht="12">
      <c r="F39" s="248" t="s">
        <v>442</v>
      </c>
      <c r="G39" s="304">
        <v>0.07</v>
      </c>
      <c r="I39" s="248" t="s">
        <v>445</v>
      </c>
    </row>
  </sheetData>
  <sheetProtection/>
  <mergeCells count="3">
    <mergeCell ref="B13:D13"/>
    <mergeCell ref="B14:D14"/>
    <mergeCell ref="F2:N2"/>
  </mergeCells>
  <printOptions/>
  <pageMargins left="0.75" right="0.75" top="1" bottom="1" header="0.5" footer="0.5"/>
  <pageSetup orientation="portrait" paperSize="9"/>
  <drawing r:id="rId3"/>
  <legacyDrawing r:id="rId2"/>
</worksheet>
</file>

<file path=xl/worksheets/sheet10.xml><?xml version="1.0" encoding="utf-8"?>
<worksheet xmlns="http://schemas.openxmlformats.org/spreadsheetml/2006/main" xmlns:r="http://schemas.openxmlformats.org/officeDocument/2006/relationships">
  <dimension ref="A1:Q22"/>
  <sheetViews>
    <sheetView workbookViewId="0" topLeftCell="A1">
      <selection activeCell="H32" sqref="H32"/>
    </sheetView>
  </sheetViews>
  <sheetFormatPr defaultColWidth="9.140625" defaultRowHeight="12.75"/>
  <cols>
    <col min="1" max="1" width="9.140625" style="1" customWidth="1"/>
    <col min="2" max="2" width="14.140625" style="1" customWidth="1"/>
    <col min="3" max="6" width="9.140625" style="1" customWidth="1"/>
    <col min="7" max="7" width="7.421875" style="1" customWidth="1"/>
    <col min="8" max="8" width="7.7109375" style="1" customWidth="1"/>
    <col min="9" max="13" width="9.140625" style="1" customWidth="1"/>
    <col min="14" max="14" width="10.8515625" style="1" customWidth="1"/>
    <col min="15" max="16384" width="9.140625" style="1" customWidth="1"/>
  </cols>
  <sheetData>
    <row r="1" ht="12">
      <c r="A1" s="26" t="s">
        <v>209</v>
      </c>
    </row>
    <row r="2" spans="2:17" ht="12">
      <c r="B2" s="2" t="s">
        <v>376</v>
      </c>
      <c r="H2" s="82" t="s">
        <v>225</v>
      </c>
      <c r="I2" s="13"/>
      <c r="J2" s="13"/>
      <c r="K2" s="13"/>
      <c r="L2" s="13"/>
      <c r="M2" s="13"/>
      <c r="N2" s="13"/>
      <c r="O2" s="13"/>
      <c r="P2" s="13"/>
      <c r="Q2" s="75"/>
    </row>
    <row r="3" spans="2:17" ht="12">
      <c r="B3" s="26" t="s">
        <v>210</v>
      </c>
      <c r="H3" s="54" t="s">
        <v>227</v>
      </c>
      <c r="I3" s="18"/>
      <c r="J3" s="18"/>
      <c r="K3" s="18"/>
      <c r="L3" s="18"/>
      <c r="M3" s="18"/>
      <c r="N3" s="18"/>
      <c r="O3" s="18"/>
      <c r="P3" s="18"/>
      <c r="Q3" s="67"/>
    </row>
    <row r="4" ht="12">
      <c r="B4" s="26" t="s">
        <v>211</v>
      </c>
    </row>
    <row r="5" ht="12">
      <c r="B5" s="26" t="s">
        <v>217</v>
      </c>
    </row>
    <row r="6" ht="12">
      <c r="B6" s="26" t="s">
        <v>229</v>
      </c>
    </row>
    <row r="7" ht="12">
      <c r="B7" s="26" t="s">
        <v>218</v>
      </c>
    </row>
    <row r="9" spans="1:15" ht="12">
      <c r="A9" s="319" t="s">
        <v>219</v>
      </c>
      <c r="B9" s="284" t="s">
        <v>212</v>
      </c>
      <c r="C9" s="284" t="s">
        <v>213</v>
      </c>
      <c r="D9" s="284" t="s">
        <v>117</v>
      </c>
      <c r="E9" s="284" t="s">
        <v>118</v>
      </c>
      <c r="F9" s="284" t="s">
        <v>415</v>
      </c>
      <c r="G9" s="284" t="s">
        <v>416</v>
      </c>
      <c r="H9" s="284" t="s">
        <v>119</v>
      </c>
      <c r="I9" s="284" t="s">
        <v>417</v>
      </c>
      <c r="J9" s="284" t="s">
        <v>418</v>
      </c>
      <c r="K9" s="284" t="s">
        <v>214</v>
      </c>
      <c r="L9" s="284" t="s">
        <v>419</v>
      </c>
      <c r="M9" s="284" t="s">
        <v>215</v>
      </c>
      <c r="N9" s="284" t="s">
        <v>226</v>
      </c>
      <c r="O9" s="284" t="s">
        <v>4</v>
      </c>
    </row>
    <row r="10" spans="1:15" ht="36">
      <c r="A10" s="285" t="s">
        <v>420</v>
      </c>
      <c r="B10" s="285" t="s">
        <v>163</v>
      </c>
      <c r="C10" s="285">
        <v>2.69</v>
      </c>
      <c r="D10" s="285">
        <v>2.64</v>
      </c>
      <c r="E10" s="285">
        <v>2.72</v>
      </c>
      <c r="F10" s="285">
        <v>2.99</v>
      </c>
      <c r="G10" s="285"/>
      <c r="H10" s="285">
        <v>3.6</v>
      </c>
      <c r="I10" s="285"/>
      <c r="J10" s="285"/>
      <c r="K10" s="285"/>
      <c r="L10" s="285"/>
      <c r="M10" s="285">
        <v>4.3</v>
      </c>
      <c r="N10" s="285">
        <v>85</v>
      </c>
      <c r="O10" s="285">
        <v>85</v>
      </c>
    </row>
    <row r="11" spans="1:15" ht="24">
      <c r="A11" s="285" t="s">
        <v>220</v>
      </c>
      <c r="B11" s="285" t="s">
        <v>7</v>
      </c>
      <c r="C11" s="285">
        <v>2.66</v>
      </c>
      <c r="D11" s="285">
        <v>2.64</v>
      </c>
      <c r="E11" s="285">
        <v>2.72</v>
      </c>
      <c r="F11" s="285">
        <v>2.97</v>
      </c>
      <c r="G11" s="285"/>
      <c r="H11" s="285">
        <v>3.53</v>
      </c>
      <c r="I11" s="285"/>
      <c r="J11" s="285"/>
      <c r="K11" s="285">
        <v>4.22</v>
      </c>
      <c r="L11" s="285"/>
      <c r="M11" s="285">
        <v>4.28</v>
      </c>
      <c r="N11" s="285">
        <v>85</v>
      </c>
      <c r="O11" s="285">
        <v>75</v>
      </c>
    </row>
    <row r="12" spans="1:15" ht="24">
      <c r="A12" s="285" t="s">
        <v>421</v>
      </c>
      <c r="B12" s="285" t="s">
        <v>162</v>
      </c>
      <c r="C12" s="285">
        <v>2.67</v>
      </c>
      <c r="D12" s="285">
        <v>2.65</v>
      </c>
      <c r="E12" s="285">
        <v>2.73</v>
      </c>
      <c r="F12" s="285">
        <v>2.98</v>
      </c>
      <c r="G12" s="285">
        <v>3.28</v>
      </c>
      <c r="H12" s="285">
        <v>3.54</v>
      </c>
      <c r="I12" s="285"/>
      <c r="J12" s="285">
        <v>3.94</v>
      </c>
      <c r="K12" s="285"/>
      <c r="L12" s="285"/>
      <c r="M12" s="285">
        <v>4.29</v>
      </c>
      <c r="N12" s="285">
        <v>85</v>
      </c>
      <c r="O12" s="285">
        <v>85</v>
      </c>
    </row>
    <row r="13" spans="1:15" ht="24">
      <c r="A13" s="285" t="s">
        <v>422</v>
      </c>
      <c r="B13" s="285" t="s">
        <v>216</v>
      </c>
      <c r="C13" s="285">
        <v>2.67</v>
      </c>
      <c r="D13" s="285">
        <v>2.65</v>
      </c>
      <c r="E13" s="285">
        <v>2.73</v>
      </c>
      <c r="F13" s="285">
        <v>2.98</v>
      </c>
      <c r="G13" s="285">
        <v>3.28</v>
      </c>
      <c r="H13" s="285">
        <v>3.54</v>
      </c>
      <c r="I13" s="285"/>
      <c r="J13" s="285">
        <v>3.94</v>
      </c>
      <c r="K13" s="285"/>
      <c r="L13" s="285"/>
      <c r="M13" s="285">
        <v>4.29</v>
      </c>
      <c r="N13" s="285">
        <v>85</v>
      </c>
      <c r="O13" s="285">
        <v>85</v>
      </c>
    </row>
    <row r="14" spans="1:15" ht="12">
      <c r="A14" s="285" t="s">
        <v>221</v>
      </c>
      <c r="B14" s="285" t="s">
        <v>8</v>
      </c>
      <c r="C14" s="285">
        <v>2.63</v>
      </c>
      <c r="D14" s="285">
        <v>2.68</v>
      </c>
      <c r="E14" s="285">
        <v>2.73</v>
      </c>
      <c r="F14" s="285">
        <v>3</v>
      </c>
      <c r="G14" s="285">
        <v>3.32</v>
      </c>
      <c r="H14" s="285">
        <v>3.54</v>
      </c>
      <c r="I14" s="285"/>
      <c r="J14" s="285"/>
      <c r="K14" s="285">
        <v>4.23</v>
      </c>
      <c r="L14" s="285"/>
      <c r="M14" s="285"/>
      <c r="N14" s="285">
        <v>85</v>
      </c>
      <c r="O14" s="285">
        <v>75</v>
      </c>
    </row>
    <row r="15" spans="1:15" ht="12">
      <c r="A15" s="285" t="s">
        <v>423</v>
      </c>
      <c r="B15" s="285" t="s">
        <v>424</v>
      </c>
      <c r="C15" s="285">
        <v>2.67</v>
      </c>
      <c r="D15" s="285">
        <v>2.65</v>
      </c>
      <c r="E15" s="285">
        <v>2.73</v>
      </c>
      <c r="F15" s="285">
        <v>2.98</v>
      </c>
      <c r="G15" s="285">
        <v>3.28</v>
      </c>
      <c r="H15" s="285">
        <v>3.54</v>
      </c>
      <c r="I15" s="285"/>
      <c r="J15" s="285">
        <v>3.94</v>
      </c>
      <c r="K15" s="285"/>
      <c r="L15" s="285"/>
      <c r="M15" s="285">
        <v>4.29</v>
      </c>
      <c r="N15" s="285">
        <v>85</v>
      </c>
      <c r="O15" s="285">
        <v>85</v>
      </c>
    </row>
    <row r="16" spans="1:15" ht="12">
      <c r="A16" s="285" t="s">
        <v>222</v>
      </c>
      <c r="B16" s="285" t="s">
        <v>5</v>
      </c>
      <c r="C16" s="285">
        <v>2.68</v>
      </c>
      <c r="D16" s="285">
        <v>2.65</v>
      </c>
      <c r="E16" s="285">
        <v>2.73</v>
      </c>
      <c r="F16" s="285">
        <v>2.98</v>
      </c>
      <c r="G16" s="285"/>
      <c r="H16" s="285">
        <v>3.54</v>
      </c>
      <c r="I16" s="285"/>
      <c r="J16" s="285"/>
      <c r="K16" s="285"/>
      <c r="L16" s="285"/>
      <c r="M16" s="285">
        <v>4.29</v>
      </c>
      <c r="N16" s="285">
        <v>85</v>
      </c>
      <c r="O16" s="285">
        <v>85</v>
      </c>
    </row>
    <row r="17" spans="1:15" ht="24">
      <c r="A17" s="285" t="s">
        <v>223</v>
      </c>
      <c r="B17" s="285" t="s">
        <v>6</v>
      </c>
      <c r="C17" s="285">
        <v>2.69</v>
      </c>
      <c r="D17" s="285">
        <v>2.69</v>
      </c>
      <c r="E17" s="285">
        <v>2.78</v>
      </c>
      <c r="F17" s="285">
        <v>3.01</v>
      </c>
      <c r="G17" s="285"/>
      <c r="H17" s="285">
        <v>3.61</v>
      </c>
      <c r="I17" s="285"/>
      <c r="J17" s="285"/>
      <c r="K17" s="285"/>
      <c r="L17" s="285"/>
      <c r="M17" s="285"/>
      <c r="N17" s="285">
        <v>85</v>
      </c>
      <c r="O17" s="285">
        <v>85</v>
      </c>
    </row>
    <row r="18" spans="1:15" ht="12">
      <c r="A18" s="285" t="s">
        <v>224</v>
      </c>
      <c r="B18" s="285" t="s">
        <v>9</v>
      </c>
      <c r="C18" s="285">
        <v>2.69</v>
      </c>
      <c r="D18" s="285">
        <v>2.69</v>
      </c>
      <c r="E18" s="285">
        <v>2.81</v>
      </c>
      <c r="F18" s="285">
        <v>3.03</v>
      </c>
      <c r="G18" s="285">
        <v>3.39</v>
      </c>
      <c r="H18" s="285">
        <v>3.56</v>
      </c>
      <c r="I18" s="285">
        <v>3.9</v>
      </c>
      <c r="J18" s="285">
        <v>4.07</v>
      </c>
      <c r="K18" s="285">
        <v>4.18</v>
      </c>
      <c r="L18" s="285">
        <v>4.28</v>
      </c>
      <c r="M18" s="285">
        <v>4.33</v>
      </c>
      <c r="N18" s="285">
        <v>85</v>
      </c>
      <c r="O18" s="285">
        <v>75</v>
      </c>
    </row>
    <row r="21" ht="12">
      <c r="A21" s="201" t="s">
        <v>377</v>
      </c>
    </row>
    <row r="22" ht="12">
      <c r="A22" s="201" t="s">
        <v>378</v>
      </c>
    </row>
  </sheetData>
  <sheetProtection/>
  <hyperlinks>
    <hyperlink ref="B2" r:id="rId1" display="1. Gå till http://www.rantan.nu/kbg.php"/>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4:C105"/>
  <sheetViews>
    <sheetView workbookViewId="0" topLeftCell="A47">
      <selection activeCell="C36" sqref="C36"/>
    </sheetView>
  </sheetViews>
  <sheetFormatPr defaultColWidth="9.140625" defaultRowHeight="12.75"/>
  <cols>
    <col min="1" max="1" width="3.8515625" style="1" customWidth="1"/>
    <col min="2" max="2" width="7.421875" style="1" customWidth="1"/>
    <col min="3" max="3" width="127.140625" style="1" customWidth="1"/>
    <col min="4" max="16384" width="9.140625" style="1" customWidth="1"/>
  </cols>
  <sheetData>
    <row r="1" ht="12.75"/>
    <row r="2" ht="12.75"/>
    <row r="3" ht="15" customHeight="1"/>
    <row r="4" ht="12.75">
      <c r="B4" s="2"/>
    </row>
    <row r="5" ht="12.75"/>
    <row r="6" ht="12.75"/>
    <row r="7" ht="12">
      <c r="C7" s="30" t="s">
        <v>47</v>
      </c>
    </row>
    <row r="8" ht="12">
      <c r="C8" s="31" t="s">
        <v>48</v>
      </c>
    </row>
    <row r="10" spans="2:3" ht="15">
      <c r="B10" s="29" t="s">
        <v>46</v>
      </c>
      <c r="C10" s="29" t="s">
        <v>45</v>
      </c>
    </row>
    <row r="11" ht="12">
      <c r="B11" s="3"/>
    </row>
    <row r="12" spans="2:3" ht="24">
      <c r="B12" s="71" t="s">
        <v>21</v>
      </c>
      <c r="C12" s="166" t="s">
        <v>264</v>
      </c>
    </row>
    <row r="13" spans="2:3" ht="12">
      <c r="B13" s="71" t="s">
        <v>22</v>
      </c>
      <c r="C13" s="166" t="s">
        <v>265</v>
      </c>
    </row>
    <row r="14" spans="2:3" ht="12">
      <c r="B14" s="71" t="s">
        <v>23</v>
      </c>
      <c r="C14" s="72" t="s">
        <v>49</v>
      </c>
    </row>
    <row r="15" spans="2:3" ht="24">
      <c r="B15" s="71" t="s">
        <v>24</v>
      </c>
      <c r="C15" s="72" t="s">
        <v>50</v>
      </c>
    </row>
    <row r="16" spans="2:3" ht="12">
      <c r="B16" s="71"/>
      <c r="C16" s="72"/>
    </row>
    <row r="17" spans="2:3" ht="12">
      <c r="B17" s="71" t="s">
        <v>25</v>
      </c>
      <c r="C17" s="166" t="s">
        <v>266</v>
      </c>
    </row>
    <row r="18" spans="2:3" ht="12">
      <c r="B18" s="71" t="s">
        <v>26</v>
      </c>
      <c r="C18" s="72" t="s">
        <v>51</v>
      </c>
    </row>
    <row r="19" spans="2:3" ht="12.75">
      <c r="B19" s="71" t="s">
        <v>27</v>
      </c>
      <c r="C19" s="166" t="s">
        <v>370</v>
      </c>
    </row>
    <row r="20" spans="2:3" ht="12">
      <c r="B20" s="71" t="s">
        <v>28</v>
      </c>
      <c r="C20" s="72" t="s">
        <v>257</v>
      </c>
    </row>
    <row r="21" spans="2:3" ht="12">
      <c r="B21" s="71" t="s">
        <v>29</v>
      </c>
      <c r="C21" s="72" t="s">
        <v>258</v>
      </c>
    </row>
    <row r="22" spans="2:3" ht="12">
      <c r="B22" s="71" t="s">
        <v>30</v>
      </c>
      <c r="C22" s="72" t="s">
        <v>52</v>
      </c>
    </row>
    <row r="23" spans="2:3" ht="12">
      <c r="B23" s="71" t="s">
        <v>31</v>
      </c>
      <c r="C23" s="72" t="s">
        <v>105</v>
      </c>
    </row>
    <row r="24" spans="2:3" ht="12">
      <c r="B24" s="71" t="s">
        <v>32</v>
      </c>
      <c r="C24" s="166" t="s">
        <v>373</v>
      </c>
    </row>
    <row r="25" spans="2:3" ht="12">
      <c r="B25" s="71" t="s">
        <v>33</v>
      </c>
      <c r="C25" s="166" t="s">
        <v>374</v>
      </c>
    </row>
    <row r="26" spans="2:3" ht="12">
      <c r="B26" s="71" t="s">
        <v>34</v>
      </c>
      <c r="C26" s="72" t="s">
        <v>106</v>
      </c>
    </row>
    <row r="27" spans="2:3" ht="24">
      <c r="B27" s="71" t="s">
        <v>35</v>
      </c>
      <c r="C27" s="72" t="s">
        <v>107</v>
      </c>
    </row>
    <row r="28" spans="2:3" ht="24">
      <c r="B28" s="71" t="s">
        <v>36</v>
      </c>
      <c r="C28" s="72" t="s">
        <v>108</v>
      </c>
    </row>
    <row r="29" spans="2:3" ht="12">
      <c r="B29" s="71" t="s">
        <v>37</v>
      </c>
      <c r="C29" s="166" t="s">
        <v>375</v>
      </c>
    </row>
    <row r="30" spans="2:3" ht="12">
      <c r="B30" s="71" t="s">
        <v>38</v>
      </c>
      <c r="C30" s="72" t="s">
        <v>116</v>
      </c>
    </row>
    <row r="31" spans="2:3" ht="12">
      <c r="B31" s="71" t="s">
        <v>39</v>
      </c>
      <c r="C31" s="72" t="s">
        <v>260</v>
      </c>
    </row>
    <row r="32" spans="2:3" ht="24">
      <c r="B32" s="71" t="s">
        <v>40</v>
      </c>
      <c r="C32" s="72" t="s">
        <v>451</v>
      </c>
    </row>
    <row r="33" spans="2:3" ht="12">
      <c r="B33" s="71" t="s">
        <v>41</v>
      </c>
      <c r="C33" s="72" t="s">
        <v>109</v>
      </c>
    </row>
    <row r="34" spans="2:3" ht="24">
      <c r="B34" s="71" t="s">
        <v>42</v>
      </c>
      <c r="C34" s="166" t="s">
        <v>267</v>
      </c>
    </row>
    <row r="35" spans="2:3" ht="12">
      <c r="B35" s="71" t="s">
        <v>43</v>
      </c>
      <c r="C35" s="72" t="s">
        <v>161</v>
      </c>
    </row>
    <row r="36" spans="2:3" ht="36">
      <c r="B36" s="71" t="s">
        <v>173</v>
      </c>
      <c r="C36" s="72" t="s">
        <v>448</v>
      </c>
    </row>
    <row r="37" spans="2:3" ht="12">
      <c r="B37" s="71" t="s">
        <v>174</v>
      </c>
      <c r="C37" s="72" t="s">
        <v>110</v>
      </c>
    </row>
    <row r="38" spans="2:3" ht="12">
      <c r="B38" s="71" t="s">
        <v>261</v>
      </c>
      <c r="C38" s="72" t="s">
        <v>111</v>
      </c>
    </row>
    <row r="39" spans="2:3" ht="12">
      <c r="B39" s="71" t="s">
        <v>262</v>
      </c>
      <c r="C39" s="72" t="s">
        <v>172</v>
      </c>
    </row>
    <row r="40" spans="2:3" ht="12">
      <c r="B40" s="71" t="s">
        <v>263</v>
      </c>
      <c r="C40" s="72" t="s">
        <v>171</v>
      </c>
    </row>
    <row r="41" spans="2:3" ht="12">
      <c r="B41" s="71" t="s">
        <v>364</v>
      </c>
      <c r="C41" s="72" t="s">
        <v>112</v>
      </c>
    </row>
    <row r="42" spans="2:3" ht="12">
      <c r="B42" s="71" t="s">
        <v>365</v>
      </c>
      <c r="C42" s="72" t="s">
        <v>114</v>
      </c>
    </row>
    <row r="43" spans="2:3" ht="12">
      <c r="B43" s="71" t="s">
        <v>366</v>
      </c>
      <c r="C43" s="72" t="s">
        <v>115</v>
      </c>
    </row>
    <row r="44" spans="2:3" ht="12">
      <c r="B44" s="71" t="s">
        <v>367</v>
      </c>
      <c r="C44" s="26" t="s">
        <v>371</v>
      </c>
    </row>
    <row r="45" spans="2:3" ht="12">
      <c r="B45" s="71" t="s">
        <v>368</v>
      </c>
      <c r="C45" s="166" t="s">
        <v>372</v>
      </c>
    </row>
    <row r="46" spans="2:3" ht="12">
      <c r="B46" s="71" t="s">
        <v>369</v>
      </c>
      <c r="C46" s="72" t="s">
        <v>113</v>
      </c>
    </row>
    <row r="47" spans="2:3" ht="12">
      <c r="B47" s="71"/>
      <c r="C47" s="72"/>
    </row>
    <row r="48" spans="2:3" ht="12">
      <c r="B48" s="71" t="s">
        <v>53</v>
      </c>
      <c r="C48" s="72" t="s">
        <v>102</v>
      </c>
    </row>
    <row r="49" spans="2:3" ht="12">
      <c r="B49" s="71" t="s">
        <v>54</v>
      </c>
      <c r="C49" s="72" t="s">
        <v>252</v>
      </c>
    </row>
    <row r="50" spans="2:3" ht="24">
      <c r="B50" s="71" t="s">
        <v>251</v>
      </c>
      <c r="C50" s="72" t="s">
        <v>103</v>
      </c>
    </row>
    <row r="51" spans="2:3" ht="12">
      <c r="B51" s="71"/>
      <c r="C51" s="72"/>
    </row>
    <row r="52" spans="2:3" ht="12">
      <c r="B52" s="71" t="s">
        <v>69</v>
      </c>
      <c r="C52" s="72" t="s">
        <v>88</v>
      </c>
    </row>
    <row r="53" spans="2:3" ht="12">
      <c r="B53" s="71" t="s">
        <v>70</v>
      </c>
      <c r="C53" s="72" t="s">
        <v>89</v>
      </c>
    </row>
    <row r="54" spans="2:3" ht="12">
      <c r="B54" s="71" t="s">
        <v>71</v>
      </c>
      <c r="C54" s="72" t="s">
        <v>90</v>
      </c>
    </row>
    <row r="55" spans="2:3" ht="12">
      <c r="B55" s="71" t="s">
        <v>72</v>
      </c>
      <c r="C55" s="72" t="s">
        <v>91</v>
      </c>
    </row>
    <row r="56" spans="2:3" ht="24">
      <c r="B56" s="71" t="s">
        <v>73</v>
      </c>
      <c r="C56" s="72" t="s">
        <v>92</v>
      </c>
    </row>
    <row r="57" spans="2:3" ht="12">
      <c r="B57" s="71" t="s">
        <v>74</v>
      </c>
      <c r="C57" s="72" t="s">
        <v>93</v>
      </c>
    </row>
    <row r="58" spans="2:3" ht="12">
      <c r="B58" s="71" t="s">
        <v>75</v>
      </c>
      <c r="C58" s="72" t="s">
        <v>94</v>
      </c>
    </row>
    <row r="59" spans="2:3" ht="12">
      <c r="B59" s="71" t="s">
        <v>76</v>
      </c>
      <c r="C59" s="72" t="s">
        <v>98</v>
      </c>
    </row>
    <row r="60" spans="2:3" ht="12">
      <c r="B60" s="71" t="s">
        <v>77</v>
      </c>
      <c r="C60" s="72" t="s">
        <v>99</v>
      </c>
    </row>
    <row r="61" spans="2:3" ht="12">
      <c r="B61" s="71" t="s">
        <v>97</v>
      </c>
      <c r="C61" s="72" t="s">
        <v>100</v>
      </c>
    </row>
    <row r="62" spans="2:3" ht="12">
      <c r="B62" s="165"/>
      <c r="C62" s="72"/>
    </row>
    <row r="63" spans="2:3" ht="12">
      <c r="B63" s="71" t="s">
        <v>78</v>
      </c>
      <c r="C63" s="72" t="s">
        <v>83</v>
      </c>
    </row>
    <row r="64" spans="2:3" ht="12">
      <c r="B64" s="71" t="s">
        <v>79</v>
      </c>
      <c r="C64" s="72" t="s">
        <v>84</v>
      </c>
    </row>
    <row r="65" spans="2:3" ht="12">
      <c r="B65" s="71" t="s">
        <v>80</v>
      </c>
      <c r="C65" s="72" t="s">
        <v>85</v>
      </c>
    </row>
    <row r="66" spans="2:3" ht="24">
      <c r="B66" s="71" t="s">
        <v>81</v>
      </c>
      <c r="C66" s="72" t="s">
        <v>86</v>
      </c>
    </row>
    <row r="67" spans="2:3" ht="12">
      <c r="B67" s="71" t="s">
        <v>82</v>
      </c>
      <c r="C67" s="72" t="s">
        <v>87</v>
      </c>
    </row>
    <row r="68" spans="2:3" ht="12">
      <c r="B68" s="165"/>
      <c r="C68" s="72"/>
    </row>
    <row r="69" spans="2:3" ht="12">
      <c r="B69" s="71" t="s">
        <v>268</v>
      </c>
      <c r="C69" s="166" t="s">
        <v>269</v>
      </c>
    </row>
    <row r="70" spans="2:3" ht="12">
      <c r="B70" s="71" t="s">
        <v>133</v>
      </c>
      <c r="C70" s="72" t="s">
        <v>150</v>
      </c>
    </row>
    <row r="71" spans="2:3" ht="12">
      <c r="B71" s="71" t="s">
        <v>140</v>
      </c>
      <c r="C71" s="72" t="s">
        <v>151</v>
      </c>
    </row>
    <row r="72" spans="2:3" ht="12">
      <c r="B72" s="71" t="s">
        <v>141</v>
      </c>
      <c r="C72" s="72" t="s">
        <v>152</v>
      </c>
    </row>
    <row r="73" spans="2:3" ht="12">
      <c r="B73" s="71" t="s">
        <v>142</v>
      </c>
      <c r="C73" s="72" t="s">
        <v>153</v>
      </c>
    </row>
    <row r="74" spans="2:3" ht="24">
      <c r="B74" s="71" t="s">
        <v>143</v>
      </c>
      <c r="C74" s="72" t="s">
        <v>154</v>
      </c>
    </row>
    <row r="75" spans="2:3" ht="24">
      <c r="B75" s="71" t="s">
        <v>144</v>
      </c>
      <c r="C75" s="72" t="s">
        <v>155</v>
      </c>
    </row>
    <row r="76" spans="2:3" ht="12">
      <c r="B76" s="71" t="s">
        <v>246</v>
      </c>
      <c r="C76" s="166" t="s">
        <v>270</v>
      </c>
    </row>
    <row r="77" spans="2:3" ht="24">
      <c r="B77" s="71" t="s">
        <v>145</v>
      </c>
      <c r="C77" s="72" t="s">
        <v>156</v>
      </c>
    </row>
    <row r="78" spans="2:3" ht="12">
      <c r="B78" s="71" t="s">
        <v>146</v>
      </c>
      <c r="C78" s="72" t="s">
        <v>157</v>
      </c>
    </row>
    <row r="79" spans="2:3" ht="12">
      <c r="B79" s="71" t="s">
        <v>147</v>
      </c>
      <c r="C79" s="72" t="s">
        <v>158</v>
      </c>
    </row>
    <row r="80" spans="2:3" ht="12">
      <c r="B80" s="71" t="s">
        <v>148</v>
      </c>
      <c r="C80" s="72" t="s">
        <v>159</v>
      </c>
    </row>
    <row r="81" spans="2:3" ht="12">
      <c r="B81" s="71" t="s">
        <v>149</v>
      </c>
      <c r="C81" s="72" t="s">
        <v>160</v>
      </c>
    </row>
    <row r="82" spans="2:3" ht="12">
      <c r="B82" s="71" t="s">
        <v>138</v>
      </c>
      <c r="C82" s="166" t="s">
        <v>271</v>
      </c>
    </row>
    <row r="83" spans="2:3" ht="12">
      <c r="B83" s="71" t="s">
        <v>139</v>
      </c>
      <c r="C83" s="166" t="s">
        <v>272</v>
      </c>
    </row>
    <row r="85" ht="12">
      <c r="B85" s="3"/>
    </row>
    <row r="87" ht="15">
      <c r="C87" s="99" t="s">
        <v>127</v>
      </c>
    </row>
    <row r="89" ht="12">
      <c r="C89" s="3" t="s">
        <v>130</v>
      </c>
    </row>
    <row r="91" ht="12">
      <c r="C91" s="1" t="s">
        <v>132</v>
      </c>
    </row>
    <row r="94" ht="12">
      <c r="C94" s="3" t="s">
        <v>128</v>
      </c>
    </row>
    <row r="96" ht="12">
      <c r="C96" s="1" t="s">
        <v>129</v>
      </c>
    </row>
    <row r="99" ht="12">
      <c r="C99" s="3" t="s">
        <v>131</v>
      </c>
    </row>
    <row r="101" ht="12">
      <c r="C101" s="246" t="s">
        <v>379</v>
      </c>
    </row>
    <row r="104" ht="12">
      <c r="B104" s="201" t="s">
        <v>377</v>
      </c>
    </row>
    <row r="105" ht="12">
      <c r="B105" s="201" t="s">
        <v>378</v>
      </c>
    </row>
  </sheetData>
  <sheetProtection/>
  <printOptions/>
  <pageMargins left="0.75" right="0.75" top="1" bottom="1" header="0.5" footer="0.5"/>
  <pageSetup horizontalDpi="200" verticalDpi="200" orientation="portrait" paperSize="9"/>
  <drawing r:id="rId1"/>
</worksheet>
</file>

<file path=xl/worksheets/sheet12.xml><?xml version="1.0" encoding="utf-8"?>
<worksheet xmlns="http://schemas.openxmlformats.org/spreadsheetml/2006/main" xmlns:r="http://schemas.openxmlformats.org/officeDocument/2006/relationships">
  <dimension ref="B4:C29"/>
  <sheetViews>
    <sheetView workbookViewId="0" topLeftCell="A1">
      <selection activeCell="M26" sqref="M26"/>
    </sheetView>
  </sheetViews>
  <sheetFormatPr defaultColWidth="9.140625" defaultRowHeight="12.75"/>
  <cols>
    <col min="1" max="1" width="3.8515625" style="1" customWidth="1"/>
    <col min="2" max="2" width="4.8515625" style="1" customWidth="1"/>
    <col min="3" max="3" width="56.421875" style="1" customWidth="1"/>
    <col min="4" max="16384" width="9.140625" style="1" customWidth="1"/>
  </cols>
  <sheetData>
    <row r="1" ht="12.75"/>
    <row r="2" ht="12.75"/>
    <row r="3" ht="15" customHeight="1"/>
    <row r="4" ht="12.75">
      <c r="B4" s="2"/>
    </row>
    <row r="5" ht="12.75"/>
    <row r="6" ht="12.75"/>
    <row r="7" ht="12">
      <c r="B7" s="3" t="s">
        <v>0</v>
      </c>
    </row>
    <row r="9" ht="48">
      <c r="C9" s="4" t="s">
        <v>324</v>
      </c>
    </row>
    <row r="11" ht="36">
      <c r="C11" s="5" t="s">
        <v>101</v>
      </c>
    </row>
    <row r="13" ht="12">
      <c r="B13" s="3" t="s">
        <v>326</v>
      </c>
    </row>
    <row r="15" ht="36">
      <c r="C15" s="5" t="s">
        <v>325</v>
      </c>
    </row>
    <row r="16" ht="12">
      <c r="C16" s="5"/>
    </row>
    <row r="18" ht="12">
      <c r="B18" s="3" t="s">
        <v>1</v>
      </c>
    </row>
    <row r="20" ht="36">
      <c r="C20" s="5" t="s">
        <v>2</v>
      </c>
    </row>
    <row r="21" ht="12">
      <c r="C21" s="5"/>
    </row>
    <row r="22" ht="36">
      <c r="C22" s="203" t="s">
        <v>327</v>
      </c>
    </row>
    <row r="25" ht="12">
      <c r="B25" s="3" t="s">
        <v>44</v>
      </c>
    </row>
    <row r="27" ht="24">
      <c r="C27" s="5" t="s">
        <v>328</v>
      </c>
    </row>
    <row r="29" ht="36">
      <c r="C29" s="5" t="s">
        <v>329</v>
      </c>
    </row>
  </sheetData>
  <sheetProtection/>
  <printOptions/>
  <pageMargins left="0.75" right="0.75" top="1" bottom="1" header="0.5" footer="0.5"/>
  <pageSetup horizontalDpi="200" verticalDpi="200" orientation="portrait" paperSize="9"/>
  <drawing r:id="rId1"/>
</worksheet>
</file>

<file path=xl/worksheets/sheet2.xml><?xml version="1.0" encoding="utf-8"?>
<worksheet xmlns="http://schemas.openxmlformats.org/spreadsheetml/2006/main" xmlns:r="http://schemas.openxmlformats.org/officeDocument/2006/relationships">
  <dimension ref="A2:AR49"/>
  <sheetViews>
    <sheetView workbookViewId="0" topLeftCell="A1">
      <selection activeCell="R8" sqref="R8"/>
    </sheetView>
  </sheetViews>
  <sheetFormatPr defaultColWidth="9.140625" defaultRowHeight="12.75"/>
  <cols>
    <col min="1" max="1" width="0.9921875" style="1" customWidth="1"/>
    <col min="2" max="2" width="6.421875" style="1" customWidth="1"/>
    <col min="3" max="3" width="18.421875" style="1" customWidth="1"/>
    <col min="4" max="4" width="6.421875" style="1" customWidth="1"/>
    <col min="5" max="5" width="19.140625" style="1" bestFit="1" customWidth="1"/>
    <col min="6" max="7" width="9.421875" style="1" customWidth="1"/>
    <col min="8" max="8" width="6.140625" style="1" customWidth="1"/>
    <col min="9" max="11" width="9.00390625" style="6" customWidth="1"/>
    <col min="12" max="12" width="11.421875" style="6" bestFit="1" customWidth="1"/>
    <col min="13" max="13" width="15.421875" style="6" customWidth="1"/>
    <col min="14" max="15" width="10.8515625" style="6" customWidth="1"/>
    <col min="16" max="16" width="9.8515625" style="1" customWidth="1"/>
    <col min="17" max="17" width="8.421875" style="1" customWidth="1"/>
    <col min="18" max="18" width="11.140625" style="1" customWidth="1"/>
    <col min="19" max="19" width="12.421875" style="6" customWidth="1"/>
    <col min="20" max="20" width="9.421875" style="6" hidden="1" customWidth="1"/>
    <col min="21" max="22" width="9.8515625" style="6" hidden="1" customWidth="1"/>
    <col min="23" max="23" width="7.7109375" style="6" hidden="1" customWidth="1"/>
    <col min="24" max="24" width="10.00390625" style="6" hidden="1" customWidth="1"/>
    <col min="25" max="25" width="10.00390625" style="6" customWidth="1"/>
    <col min="26" max="26" width="7.421875" style="6" bestFit="1" customWidth="1"/>
    <col min="27" max="27" width="10.00390625" style="6" customWidth="1"/>
    <col min="28" max="28" width="11.7109375" style="6" customWidth="1"/>
    <col min="29" max="29" width="7.421875" style="6" hidden="1" customWidth="1"/>
    <col min="30" max="30" width="10.00390625" style="6" hidden="1" customWidth="1"/>
    <col min="31" max="32" width="17.7109375" style="6" hidden="1" customWidth="1"/>
    <col min="33" max="34" width="10.7109375" style="6" customWidth="1"/>
    <col min="35" max="35" width="7.8515625" style="6" customWidth="1"/>
    <col min="36" max="36" width="9.421875" style="6" customWidth="1"/>
    <col min="37" max="37" width="9.140625" style="6" customWidth="1"/>
    <col min="38" max="40" width="9.7109375" style="1" customWidth="1"/>
    <col min="41" max="41" width="40.421875" style="1" customWidth="1"/>
    <col min="42" max="16384" width="9.140625" style="1" customWidth="1"/>
  </cols>
  <sheetData>
    <row r="1" ht="12.75"/>
    <row r="2" spans="6:34" ht="12.75">
      <c r="F2" s="1" t="s">
        <v>176</v>
      </c>
      <c r="P2" s="21"/>
      <c r="Q2" s="144" t="str">
        <f>VLOOKUP("x",Låneuppgifter!B10:C18,2)</f>
        <v>Ikanobanken</v>
      </c>
      <c r="R2" s="145"/>
      <c r="AG2" s="7" t="s">
        <v>121</v>
      </c>
      <c r="AH2" s="7"/>
    </row>
    <row r="3" spans="6:32" ht="15" customHeight="1">
      <c r="F3" s="2" t="s">
        <v>323</v>
      </c>
      <c r="G3" s="2"/>
      <c r="P3" s="97"/>
      <c r="Q3" s="96" t="s">
        <v>3</v>
      </c>
      <c r="R3" s="98" t="s">
        <v>4</v>
      </c>
      <c r="U3" s="7" t="s">
        <v>16</v>
      </c>
      <c r="V3" s="7"/>
      <c r="W3" s="6" t="s">
        <v>168</v>
      </c>
      <c r="AC3" s="57"/>
      <c r="AD3" s="57"/>
      <c r="AE3" s="57"/>
      <c r="AF3" s="57"/>
    </row>
    <row r="4" spans="16:40" ht="12.75">
      <c r="P4" s="51" t="s">
        <v>18</v>
      </c>
      <c r="Q4" s="92">
        <f>Låneuppgifter!K22</f>
        <v>0.045</v>
      </c>
      <c r="R4" s="56">
        <f>Låneuppgifter!K21</f>
        <v>0.026699999999999998</v>
      </c>
      <c r="AG4" s="60">
        <f>IF(AA32&gt;0,"Du måste ta ett högrisklån för ett prospekt","")</f>
      </c>
      <c r="AH4" s="109"/>
      <c r="AI4" s="61"/>
      <c r="AJ4" s="61"/>
      <c r="AK4" s="61"/>
      <c r="AL4" s="62"/>
      <c r="AM4" s="11"/>
      <c r="AN4" s="11"/>
    </row>
    <row r="5" spans="16:40" ht="12.75">
      <c r="P5" s="51" t="s">
        <v>19</v>
      </c>
      <c r="Q5" s="76">
        <f>Låneuppgifter!K23</f>
        <v>0</v>
      </c>
      <c r="R5" s="53">
        <f>Låneuppgifter!K24</f>
        <v>0.85</v>
      </c>
      <c r="U5" s="10">
        <f>1-R5-Q5</f>
        <v>0.15000000000000002</v>
      </c>
      <c r="V5" s="10"/>
      <c r="W5" s="47">
        <f>Inställningar!G39</f>
        <v>0.07</v>
      </c>
      <c r="Y5" s="10"/>
      <c r="AG5" s="63">
        <f>IF(AA32&gt;0,"dvs du har egentligen inte råd med det!","")</f>
      </c>
      <c r="AH5" s="110"/>
      <c r="AI5" s="64"/>
      <c r="AJ5" s="64"/>
      <c r="AK5" s="64"/>
      <c r="AL5" s="65"/>
      <c r="AM5" s="11"/>
      <c r="AN5" s="11"/>
    </row>
    <row r="6" spans="9:43" s="3" customFormat="1" ht="12.75">
      <c r="I6" s="7"/>
      <c r="J6" s="7"/>
      <c r="K6" s="7"/>
      <c r="P6" s="22"/>
      <c r="Q6" s="76"/>
      <c r="R6" s="93"/>
      <c r="U6" s="6"/>
      <c r="V6" s="6"/>
      <c r="X6" s="7"/>
      <c r="Y6" s="7"/>
      <c r="Z6" s="7"/>
      <c r="AA6" s="7"/>
      <c r="AB6" s="7"/>
      <c r="AC6" s="7"/>
      <c r="AD6" s="7"/>
      <c r="AE6" s="7"/>
      <c r="AF6" s="7"/>
      <c r="AG6" s="63"/>
      <c r="AH6" s="110"/>
      <c r="AI6" s="64"/>
      <c r="AJ6" s="64"/>
      <c r="AK6" s="64"/>
      <c r="AL6" s="65"/>
      <c r="AM6" s="27"/>
      <c r="AN6" s="27"/>
      <c r="AP6" s="17"/>
      <c r="AQ6" s="17"/>
    </row>
    <row r="7" spans="3:43" ht="12.75">
      <c r="C7" s="154" t="s">
        <v>232</v>
      </c>
      <c r="D7" s="8"/>
      <c r="E7" s="8"/>
      <c r="F7" s="8"/>
      <c r="G7" s="8"/>
      <c r="H7" s="8"/>
      <c r="P7" s="94" t="s">
        <v>20</v>
      </c>
      <c r="Q7" s="95"/>
      <c r="R7" s="288">
        <f>'Vad får jag för...'!D10</f>
        <v>512500</v>
      </c>
      <c r="U7" s="12"/>
      <c r="V7" s="12"/>
      <c r="AG7" s="63">
        <f>IF(AA32&gt;0,"- Sätt in mer pengar som egen insats, eller","")</f>
      </c>
      <c r="AH7" s="110"/>
      <c r="AI7" s="68"/>
      <c r="AJ7" s="68"/>
      <c r="AK7" s="69"/>
      <c r="AL7" s="70"/>
      <c r="AP7" s="14"/>
      <c r="AQ7" s="14"/>
    </row>
    <row r="8" spans="3:43" ht="12.75">
      <c r="C8" s="1" t="s">
        <v>13</v>
      </c>
      <c r="P8" s="143" t="s">
        <v>238</v>
      </c>
      <c r="Q8" s="162"/>
      <c r="R8" s="287">
        <f>Inställningar!G23</f>
        <v>1000</v>
      </c>
      <c r="U8" s="28"/>
      <c r="V8" s="28"/>
      <c r="AG8" s="66">
        <f>IF(AA32&gt;0,"- Ta ett dyrare högrisklån på summan. I kalkylen 6,99 %","")</f>
      </c>
      <c r="AH8" s="111"/>
      <c r="AI8" s="19"/>
      <c r="AJ8" s="19"/>
      <c r="AK8" s="19"/>
      <c r="AL8" s="67"/>
      <c r="AP8" s="14"/>
      <c r="AQ8" s="14"/>
    </row>
    <row r="9" spans="3:43" ht="12.75">
      <c r="C9" s="2" t="s">
        <v>259</v>
      </c>
      <c r="P9" s="161" t="s">
        <v>237</v>
      </c>
      <c r="Q9" s="163"/>
      <c r="R9" s="164"/>
      <c r="U9" s="28"/>
      <c r="V9" s="28"/>
      <c r="AG9" s="110"/>
      <c r="AH9" s="110"/>
      <c r="AI9" s="15"/>
      <c r="AJ9" s="15"/>
      <c r="AK9" s="15"/>
      <c r="AL9" s="14"/>
      <c r="AP9" s="14"/>
      <c r="AQ9" s="14"/>
    </row>
    <row r="10" spans="3:43" ht="7.5" customHeight="1">
      <c r="C10" s="6"/>
      <c r="D10" s="6"/>
      <c r="E10" s="6"/>
      <c r="F10" s="6"/>
      <c r="G10" s="6"/>
      <c r="H10" s="6"/>
      <c r="M10" s="16"/>
      <c r="N10" s="3"/>
      <c r="O10" s="3"/>
      <c r="Q10" s="6"/>
      <c r="T10" s="1"/>
      <c r="U10" s="1"/>
      <c r="V10" s="1"/>
      <c r="AO10" s="14"/>
      <c r="AP10" s="14"/>
      <c r="AQ10" s="14"/>
    </row>
    <row r="11" spans="2:44" s="104" customFormat="1" ht="134.25" customHeight="1">
      <c r="B11" s="100" t="s">
        <v>233</v>
      </c>
      <c r="C11" s="212" t="s">
        <v>167</v>
      </c>
      <c r="D11" s="242" t="s">
        <v>361</v>
      </c>
      <c r="E11" s="230" t="s">
        <v>353</v>
      </c>
      <c r="F11" s="101" t="s">
        <v>354</v>
      </c>
      <c r="G11" s="102" t="s">
        <v>288</v>
      </c>
      <c r="H11" s="101" t="s">
        <v>355</v>
      </c>
      <c r="I11" s="262" t="s">
        <v>356</v>
      </c>
      <c r="J11" s="255" t="s">
        <v>357</v>
      </c>
      <c r="K11" s="256" t="s">
        <v>358</v>
      </c>
      <c r="L11" s="101" t="s">
        <v>332</v>
      </c>
      <c r="M11" s="142" t="s">
        <v>333</v>
      </c>
      <c r="N11" s="218" t="s">
        <v>334</v>
      </c>
      <c r="O11" s="259" t="s">
        <v>386</v>
      </c>
      <c r="P11" s="229" t="s">
        <v>435</v>
      </c>
      <c r="Q11" s="230" t="s">
        <v>335</v>
      </c>
      <c r="R11" s="101" t="s">
        <v>336</v>
      </c>
      <c r="S11" s="207" t="s">
        <v>337</v>
      </c>
      <c r="T11" s="101" t="s">
        <v>122</v>
      </c>
      <c r="U11" s="101" t="s">
        <v>123</v>
      </c>
      <c r="V11" s="101" t="s">
        <v>124</v>
      </c>
      <c r="W11" s="101" t="s">
        <v>125</v>
      </c>
      <c r="X11" s="101" t="s">
        <v>57</v>
      </c>
      <c r="Y11" s="101" t="s">
        <v>338</v>
      </c>
      <c r="Z11" s="207" t="s">
        <v>359</v>
      </c>
      <c r="AA11" s="101" t="s">
        <v>443</v>
      </c>
      <c r="AB11" s="102" t="s">
        <v>449</v>
      </c>
      <c r="AC11" s="102"/>
      <c r="AD11" s="207" t="s">
        <v>339</v>
      </c>
      <c r="AE11" s="102" t="s">
        <v>55</v>
      </c>
      <c r="AF11" s="102" t="s">
        <v>56</v>
      </c>
      <c r="AG11" s="101" t="s">
        <v>340</v>
      </c>
      <c r="AH11" s="207" t="s">
        <v>444</v>
      </c>
      <c r="AI11" s="101" t="s">
        <v>341</v>
      </c>
      <c r="AJ11" s="207" t="s">
        <v>342</v>
      </c>
      <c r="AK11" s="101" t="s">
        <v>343</v>
      </c>
      <c r="AL11" s="231" t="s">
        <v>344</v>
      </c>
      <c r="AM11" s="255" t="s">
        <v>345</v>
      </c>
      <c r="AN11" s="256" t="s">
        <v>346</v>
      </c>
      <c r="AO11" s="102" t="s">
        <v>360</v>
      </c>
      <c r="AP11" s="103"/>
      <c r="AQ11" s="103"/>
      <c r="AR11" s="103"/>
    </row>
    <row r="12" spans="2:44" s="104" customFormat="1" ht="19.5" customHeight="1">
      <c r="B12" s="115"/>
      <c r="C12" s="211"/>
      <c r="D12" s="241"/>
      <c r="E12" s="206"/>
      <c r="F12" s="115"/>
      <c r="G12" s="114"/>
      <c r="H12" s="115"/>
      <c r="I12" s="263"/>
      <c r="J12" s="257"/>
      <c r="K12" s="258"/>
      <c r="L12" s="115"/>
      <c r="M12" s="114"/>
      <c r="N12" s="213"/>
      <c r="O12" s="258"/>
      <c r="P12" s="115"/>
      <c r="Q12" s="206"/>
      <c r="R12" s="115"/>
      <c r="S12" s="206"/>
      <c r="T12" s="206"/>
      <c r="U12" s="206"/>
      <c r="V12" s="206"/>
      <c r="W12" s="206"/>
      <c r="X12" s="206"/>
      <c r="Y12" s="115"/>
      <c r="Z12" s="206"/>
      <c r="AA12" s="115"/>
      <c r="AB12" s="206"/>
      <c r="AC12" s="206"/>
      <c r="AD12" s="206"/>
      <c r="AE12" s="206"/>
      <c r="AF12" s="206"/>
      <c r="AG12" s="115"/>
      <c r="AH12" s="206"/>
      <c r="AI12" s="115"/>
      <c r="AJ12" s="206"/>
      <c r="AK12" s="115"/>
      <c r="AL12" s="226"/>
      <c r="AM12" s="257"/>
      <c r="AN12" s="258"/>
      <c r="AO12" s="114"/>
      <c r="AP12" s="103"/>
      <c r="AQ12" s="103"/>
      <c r="AR12" s="103"/>
    </row>
    <row r="13" spans="2:44" s="104" customFormat="1" ht="9" customHeight="1">
      <c r="B13" s="114"/>
      <c r="C13" s="114"/>
      <c r="D13" s="114"/>
      <c r="E13" s="114"/>
      <c r="F13" s="114"/>
      <c r="G13" s="114"/>
      <c r="H13" s="114"/>
      <c r="I13" s="114"/>
      <c r="J13" s="114"/>
      <c r="K13" s="114"/>
      <c r="L13" s="114"/>
      <c r="M13" s="114"/>
      <c r="N13" s="116"/>
      <c r="O13" s="116"/>
      <c r="P13" s="116"/>
      <c r="Q13" s="117"/>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03"/>
      <c r="AQ13" s="103"/>
      <c r="AR13" s="103"/>
    </row>
    <row r="14" spans="3:40" ht="12.75">
      <c r="C14" s="3" t="s">
        <v>169</v>
      </c>
      <c r="D14" s="3"/>
      <c r="E14" s="3"/>
      <c r="F14" s="3"/>
      <c r="G14" s="3"/>
      <c r="P14" s="32"/>
      <c r="R14" s="32"/>
      <c r="S14" s="32"/>
      <c r="T14" s="32"/>
      <c r="U14" s="32"/>
      <c r="V14" s="32"/>
      <c r="W14" s="32"/>
      <c r="X14" s="32"/>
      <c r="Y14" s="32"/>
      <c r="Z14" s="32"/>
      <c r="AA14" s="32"/>
      <c r="AB14" s="32"/>
      <c r="AC14" s="58">
        <f>IF(AA14&gt;0,"OBS!","")</f>
      </c>
      <c r="AD14" s="32"/>
      <c r="AE14" s="37"/>
      <c r="AF14" s="37"/>
      <c r="AG14" s="37"/>
      <c r="AH14" s="37"/>
      <c r="AI14" s="32"/>
      <c r="AJ14" s="32"/>
      <c r="AK14" s="32"/>
      <c r="AL14" s="32"/>
      <c r="AM14" s="32"/>
      <c r="AN14" s="32"/>
    </row>
    <row r="15" spans="3:41" ht="12.75">
      <c r="C15" s="18"/>
      <c r="D15" s="18"/>
      <c r="E15" s="18"/>
      <c r="F15" s="18"/>
      <c r="G15" s="18"/>
      <c r="H15" s="18"/>
      <c r="I15" s="19"/>
      <c r="J15" s="19"/>
      <c r="K15" s="19"/>
      <c r="L15" s="19"/>
      <c r="M15" s="19"/>
      <c r="N15" s="19"/>
      <c r="O15" s="19"/>
      <c r="P15" s="35"/>
      <c r="Q15" s="18"/>
      <c r="R15" s="35"/>
      <c r="S15" s="35"/>
      <c r="T15" s="35"/>
      <c r="U15" s="35"/>
      <c r="V15" s="35"/>
      <c r="W15" s="35"/>
      <c r="X15" s="35"/>
      <c r="Y15" s="35"/>
      <c r="Z15" s="35"/>
      <c r="AA15" s="35"/>
      <c r="AB15" s="35"/>
      <c r="AC15" s="59">
        <f>IF(AA15&gt;0,"OBS!","")</f>
      </c>
      <c r="AD15" s="35"/>
      <c r="AE15" s="36"/>
      <c r="AF15" s="36"/>
      <c r="AG15" s="36"/>
      <c r="AH15" s="36"/>
      <c r="AI15" s="35"/>
      <c r="AJ15" s="35"/>
      <c r="AK15" s="35"/>
      <c r="AL15" s="35"/>
      <c r="AM15" s="35"/>
      <c r="AN15" s="35"/>
      <c r="AO15" s="18"/>
    </row>
    <row r="16" spans="2:41" ht="12.75">
      <c r="B16" s="112" t="s">
        <v>120</v>
      </c>
      <c r="C16" s="237" t="s">
        <v>348</v>
      </c>
      <c r="D16" s="254" t="s">
        <v>363</v>
      </c>
      <c r="E16" s="253" t="s">
        <v>384</v>
      </c>
      <c r="F16" s="168" t="s">
        <v>351</v>
      </c>
      <c r="G16" s="176">
        <v>5</v>
      </c>
      <c r="H16" s="33">
        <v>46</v>
      </c>
      <c r="I16" s="209">
        <v>2300</v>
      </c>
      <c r="J16" s="34"/>
      <c r="K16" s="209"/>
      <c r="L16" s="34">
        <v>1600000</v>
      </c>
      <c r="M16" s="34">
        <v>1700000</v>
      </c>
      <c r="N16" s="219">
        <v>1700000</v>
      </c>
      <c r="O16" s="223">
        <f aca="true" t="shared" si="0" ref="O16:O27">IF(N16&gt;0,AN16+AM16,"")</f>
        <v>0</v>
      </c>
      <c r="P16" s="32">
        <f>IF(N16&gt;0,AK16+(J16/12)+I16+$R$8,"")</f>
        <v>5942.1875</v>
      </c>
      <c r="Q16" s="15">
        <f>IF(N16&gt;0,AL16+(J16/12)+I16,"")</f>
        <v>4149.53125</v>
      </c>
      <c r="R16" s="32">
        <f>IF(N16&gt;0,N16/H16,"")</f>
        <v>36956.52173913043</v>
      </c>
      <c r="S16" s="32">
        <f aca="true" t="shared" si="1" ref="S16:S27">IF(N16&gt;0,I16/H16,"")</f>
        <v>50</v>
      </c>
      <c r="T16" s="32">
        <f>(N16*$U$5)+O16</f>
        <v>255000.00000000003</v>
      </c>
      <c r="U16" s="32">
        <f>T16-$R$7</f>
        <v>-257499.99999999997</v>
      </c>
      <c r="V16" s="32">
        <f aca="true" t="shared" si="2" ref="V16:V27">$Q$5*N16</f>
        <v>0</v>
      </c>
      <c r="W16" s="32">
        <f>V16+U16</f>
        <v>-257499.99999999997</v>
      </c>
      <c r="X16" s="32">
        <f>IF(U16&gt;0,V16,W16)</f>
        <v>-257499.99999999997</v>
      </c>
      <c r="Y16" s="32">
        <f aca="true" t="shared" si="3" ref="Y16:Y27">IF(N16&gt;0,AK16/H16,"")</f>
        <v>57.438858695652165</v>
      </c>
      <c r="Z16" s="32">
        <f aca="true" t="shared" si="4" ref="Z16:Z27">IF(N16&gt;0,N16*0.1,"")</f>
        <v>170000</v>
      </c>
      <c r="AA16" s="32">
        <f aca="true" t="shared" si="5" ref="AA16:AA27">IF(N16&gt;0,IF(U16&gt;0,U16,0),"")</f>
        <v>0</v>
      </c>
      <c r="AB16" s="306">
        <f>IF(N16&gt;0,((N16-$R$7)/N16),"")</f>
        <v>0.6985294117647058</v>
      </c>
      <c r="AC16" s="118">
        <f aca="true" t="shared" si="6" ref="AC16:AC27">IF(N16&gt;0,IF(AA16&gt;0,AB16,""),"")</f>
      </c>
      <c r="AD16" s="32">
        <f aca="true" t="shared" si="7" ref="AD16:AD27">IF(N16&gt;0,IF(X16&gt;0,X16,0),"")</f>
        <v>0</v>
      </c>
      <c r="AE16" s="37">
        <f aca="true" t="shared" si="8" ref="AE16:AE27">$R$5*N16</f>
        <v>1445000</v>
      </c>
      <c r="AF16" s="37">
        <f>AE16+W16</f>
        <v>1187500</v>
      </c>
      <c r="AG16" s="37">
        <f aca="true" t="shared" si="9" ref="AG16:AG27">IF(N16&gt;0,IF(W16&gt;0,AE16,AF16),"")</f>
        <v>1187500</v>
      </c>
      <c r="AH16" s="37">
        <f aca="true" t="shared" si="10" ref="AH16:AH27">IF(N16&gt;0,($W$5*AA16)/12,"")</f>
        <v>0</v>
      </c>
      <c r="AI16" s="32">
        <f aca="true" t="shared" si="11" ref="AI16:AI27">IF(N16&gt;0,(AA16+AD16)*$Q$4/12,"")</f>
        <v>0</v>
      </c>
      <c r="AJ16" s="32">
        <f aca="true" t="shared" si="12" ref="AJ16:AJ27">IF(N16&gt;0,AG16*$R$4/12,"")</f>
        <v>2642.1874999999995</v>
      </c>
      <c r="AK16" s="32">
        <f aca="true" t="shared" si="13" ref="AK16:AK27">IF(N16&gt;0,AH16+AJ16+AI16,"")</f>
        <v>2642.1874999999995</v>
      </c>
      <c r="AL16" s="214">
        <f aca="true" t="shared" si="14" ref="AL16:AL27">IF(N16&gt;0,0.7*MIN(AK16,100000)+0.8*MAX(0,AK16-100000),"")</f>
        <v>1849.5312499999995</v>
      </c>
      <c r="AM16" s="32">
        <f>IF(D16="V",(V16+AE16-K16)*0.02,0)</f>
        <v>0</v>
      </c>
      <c r="AN16" s="214">
        <f>IF(D16="V",N16*0.015,0)</f>
        <v>0</v>
      </c>
      <c r="AO16" s="43"/>
    </row>
    <row r="17" spans="2:41" ht="12.75">
      <c r="B17" s="112"/>
      <c r="C17" s="238" t="s">
        <v>349</v>
      </c>
      <c r="D17" s="232" t="s">
        <v>362</v>
      </c>
      <c r="E17" s="253" t="s">
        <v>385</v>
      </c>
      <c r="F17" s="168" t="s">
        <v>352</v>
      </c>
      <c r="G17" s="33">
        <v>6</v>
      </c>
      <c r="H17" s="33">
        <v>204</v>
      </c>
      <c r="I17" s="208">
        <v>0</v>
      </c>
      <c r="J17" s="34">
        <v>40500</v>
      </c>
      <c r="K17" s="208">
        <v>2200000</v>
      </c>
      <c r="L17" s="34">
        <v>3975000</v>
      </c>
      <c r="M17" s="34">
        <v>4500000</v>
      </c>
      <c r="N17" s="220">
        <v>3000000</v>
      </c>
      <c r="O17" s="223">
        <f t="shared" si="0"/>
        <v>52000</v>
      </c>
      <c r="P17" s="32">
        <f aca="true" t="shared" si="15" ref="P17:P27">IF(N17&gt;0,AK17+(J17/12)+I17+$R$8,"")</f>
        <v>10025.3875</v>
      </c>
      <c r="Q17" s="15">
        <f aca="true" t="shared" si="16" ref="Q17:Q27">IF(N17&gt;0,AL17+(J17/12)+I17,"")</f>
        <v>7330.27125</v>
      </c>
      <c r="R17" s="32">
        <f>IF(N17&gt;0,N17/H17,"")</f>
        <v>14705.882352941177</v>
      </c>
      <c r="S17" s="32">
        <f t="shared" si="1"/>
        <v>0</v>
      </c>
      <c r="T17" s="32">
        <f aca="true" t="shared" si="17" ref="T17:T27">(N17*$U$5)+O17</f>
        <v>502000.00000000006</v>
      </c>
      <c r="U17" s="32">
        <f>T17-$R$7</f>
        <v>-10499.999999999942</v>
      </c>
      <c r="V17" s="32">
        <f t="shared" si="2"/>
        <v>0</v>
      </c>
      <c r="W17" s="32">
        <f>V17+U17</f>
        <v>-10499.999999999942</v>
      </c>
      <c r="X17" s="32">
        <f>IF(U17&gt;0,V17,W17)</f>
        <v>-10499.999999999942</v>
      </c>
      <c r="Y17" s="32">
        <f t="shared" si="3"/>
        <v>27.697977941176468</v>
      </c>
      <c r="Z17" s="32">
        <f t="shared" si="4"/>
        <v>300000</v>
      </c>
      <c r="AA17" s="32">
        <f t="shared" si="5"/>
        <v>0</v>
      </c>
      <c r="AB17" s="306">
        <f aca="true" t="shared" si="18" ref="AB17:AB27">IF(N17&gt;0,((N17-$R$7)/N17),"")</f>
        <v>0.8291666666666667</v>
      </c>
      <c r="AC17" s="118">
        <f t="shared" si="6"/>
      </c>
      <c r="AD17" s="32">
        <f t="shared" si="7"/>
        <v>0</v>
      </c>
      <c r="AE17" s="37">
        <f t="shared" si="8"/>
        <v>2550000</v>
      </c>
      <c r="AF17" s="37">
        <f>AE17+W17</f>
        <v>2539500</v>
      </c>
      <c r="AG17" s="37">
        <f t="shared" si="9"/>
        <v>2539500</v>
      </c>
      <c r="AH17" s="37">
        <f t="shared" si="10"/>
        <v>0</v>
      </c>
      <c r="AI17" s="32">
        <f t="shared" si="11"/>
        <v>0</v>
      </c>
      <c r="AJ17" s="32">
        <f t="shared" si="12"/>
        <v>5650.3875</v>
      </c>
      <c r="AK17" s="32">
        <f t="shared" si="13"/>
        <v>5650.3875</v>
      </c>
      <c r="AL17" s="215">
        <f t="shared" si="14"/>
        <v>3955.27125</v>
      </c>
      <c r="AM17" s="32">
        <f aca="true" t="shared" si="19" ref="AM17:AM27">IF(D17="V",(V17+AE17-K17)*0.02,0)</f>
        <v>7000</v>
      </c>
      <c r="AN17" s="215">
        <f aca="true" t="shared" si="20" ref="AN17:AN27">IF(D17="V",N17*0.015,0)</f>
        <v>45000</v>
      </c>
      <c r="AO17" s="43"/>
    </row>
    <row r="18" spans="2:41" ht="12.75">
      <c r="B18" s="227"/>
      <c r="C18" s="238" t="s">
        <v>350</v>
      </c>
      <c r="D18" s="232" t="s">
        <v>362</v>
      </c>
      <c r="E18" s="174" t="s">
        <v>347</v>
      </c>
      <c r="F18" s="168" t="s">
        <v>287</v>
      </c>
      <c r="G18" s="33">
        <v>8</v>
      </c>
      <c r="H18" s="33">
        <v>487</v>
      </c>
      <c r="I18" s="208">
        <v>0</v>
      </c>
      <c r="J18" s="34">
        <v>46282</v>
      </c>
      <c r="K18" s="208">
        <v>0</v>
      </c>
      <c r="L18" s="34">
        <v>3800000</v>
      </c>
      <c r="M18" s="34">
        <v>4400000</v>
      </c>
      <c r="N18" s="220">
        <v>3000000</v>
      </c>
      <c r="O18" s="223">
        <f t="shared" si="0"/>
        <v>96000</v>
      </c>
      <c r="P18" s="32">
        <f t="shared" si="15"/>
        <v>10851.625</v>
      </c>
      <c r="Q18" s="15">
        <f t="shared" si="16"/>
        <v>8053.1875</v>
      </c>
      <c r="R18" s="32">
        <f>IF(N18&gt;0,N18/H18,"")</f>
        <v>6160.164271047228</v>
      </c>
      <c r="S18" s="32">
        <f t="shared" si="1"/>
        <v>0</v>
      </c>
      <c r="T18" s="32">
        <f t="shared" si="17"/>
        <v>546000</v>
      </c>
      <c r="U18" s="32">
        <f aca="true" t="shared" si="21" ref="U18:U27">T18-$R$7</f>
        <v>33500</v>
      </c>
      <c r="V18" s="32">
        <f t="shared" si="2"/>
        <v>0</v>
      </c>
      <c r="W18" s="32">
        <f aca="true" t="shared" si="22" ref="W18:W27">V18+U18</f>
        <v>33500</v>
      </c>
      <c r="X18" s="32">
        <f aca="true" t="shared" si="23" ref="X18:X27">IF(U18&gt;0,V18,W18)</f>
        <v>0</v>
      </c>
      <c r="Y18" s="32">
        <f t="shared" si="3"/>
        <v>12.309633812457221</v>
      </c>
      <c r="Z18" s="32">
        <f t="shared" si="4"/>
        <v>300000</v>
      </c>
      <c r="AA18" s="32">
        <f t="shared" si="5"/>
        <v>33500</v>
      </c>
      <c r="AB18" s="306">
        <f t="shared" si="18"/>
        <v>0.8291666666666667</v>
      </c>
      <c r="AC18" s="118">
        <f t="shared" si="6"/>
        <v>0.8291666666666667</v>
      </c>
      <c r="AD18" s="32">
        <f t="shared" si="7"/>
        <v>0</v>
      </c>
      <c r="AE18" s="37">
        <f t="shared" si="8"/>
        <v>2550000</v>
      </c>
      <c r="AF18" s="37">
        <f aca="true" t="shared" si="24" ref="AF18:AF27">AE18+W18</f>
        <v>2583500</v>
      </c>
      <c r="AG18" s="37">
        <f t="shared" si="9"/>
        <v>2550000</v>
      </c>
      <c r="AH18" s="37">
        <f t="shared" si="10"/>
        <v>195.41666666666666</v>
      </c>
      <c r="AI18" s="32">
        <f t="shared" si="11"/>
        <v>125.625</v>
      </c>
      <c r="AJ18" s="32">
        <f t="shared" si="12"/>
        <v>5673.75</v>
      </c>
      <c r="AK18" s="32">
        <f t="shared" si="13"/>
        <v>5994.791666666667</v>
      </c>
      <c r="AL18" s="215">
        <f t="shared" si="14"/>
        <v>4196.354166666667</v>
      </c>
      <c r="AM18" s="32">
        <f t="shared" si="19"/>
        <v>51000</v>
      </c>
      <c r="AN18" s="215">
        <f t="shared" si="20"/>
        <v>45000</v>
      </c>
      <c r="AO18" s="43"/>
    </row>
    <row r="19" spans="2:41" ht="12.75">
      <c r="B19" s="112"/>
      <c r="C19" s="238"/>
      <c r="D19" s="232"/>
      <c r="E19" s="174"/>
      <c r="F19" s="33"/>
      <c r="G19" s="33"/>
      <c r="H19" s="33"/>
      <c r="I19" s="208"/>
      <c r="J19" s="34"/>
      <c r="K19" s="208"/>
      <c r="L19" s="34"/>
      <c r="M19" s="172"/>
      <c r="N19" s="220"/>
      <c r="O19" s="223">
        <f t="shared" si="0"/>
      </c>
      <c r="P19" s="32">
        <f t="shared" si="15"/>
      </c>
      <c r="Q19" s="15">
        <f t="shared" si="16"/>
      </c>
      <c r="R19" s="32">
        <f>IF(N19&gt;0,N19/H19,"")</f>
      </c>
      <c r="S19" s="32">
        <f t="shared" si="1"/>
      </c>
      <c r="T19" s="32" t="e">
        <f t="shared" si="17"/>
        <v>#VALUE!</v>
      </c>
      <c r="U19" s="32" t="e">
        <f t="shared" si="21"/>
        <v>#VALUE!</v>
      </c>
      <c r="V19" s="32">
        <f t="shared" si="2"/>
        <v>0</v>
      </c>
      <c r="W19" s="32" t="e">
        <f t="shared" si="22"/>
        <v>#VALUE!</v>
      </c>
      <c r="X19" s="32" t="e">
        <f t="shared" si="23"/>
        <v>#VALUE!</v>
      </c>
      <c r="Y19" s="32">
        <f t="shared" si="3"/>
      </c>
      <c r="Z19" s="32">
        <f t="shared" si="4"/>
      </c>
      <c r="AA19" s="32">
        <f t="shared" si="5"/>
      </c>
      <c r="AB19" s="306">
        <f t="shared" si="18"/>
      </c>
      <c r="AC19" s="118">
        <f t="shared" si="6"/>
      </c>
      <c r="AD19" s="32">
        <f t="shared" si="7"/>
      </c>
      <c r="AE19" s="37">
        <f t="shared" si="8"/>
        <v>0</v>
      </c>
      <c r="AF19" s="37" t="e">
        <f t="shared" si="24"/>
        <v>#VALUE!</v>
      </c>
      <c r="AG19" s="37">
        <f t="shared" si="9"/>
      </c>
      <c r="AH19" s="37">
        <f t="shared" si="10"/>
      </c>
      <c r="AI19" s="32">
        <f t="shared" si="11"/>
      </c>
      <c r="AJ19" s="32">
        <f t="shared" si="12"/>
      </c>
      <c r="AK19" s="32">
        <f t="shared" si="13"/>
      </c>
      <c r="AL19" s="215">
        <f t="shared" si="14"/>
      </c>
      <c r="AM19" s="32">
        <f t="shared" si="19"/>
        <v>0</v>
      </c>
      <c r="AN19" s="215">
        <f t="shared" si="20"/>
        <v>0</v>
      </c>
      <c r="AO19" s="43"/>
    </row>
    <row r="20" spans="1:41" ht="12.75">
      <c r="A20" s="26"/>
      <c r="B20" s="112"/>
      <c r="C20" s="239"/>
      <c r="D20" s="208"/>
      <c r="E20" s="173"/>
      <c r="F20" s="33"/>
      <c r="G20" s="33"/>
      <c r="H20" s="33"/>
      <c r="I20" s="208"/>
      <c r="J20" s="34"/>
      <c r="K20" s="208"/>
      <c r="L20" s="34"/>
      <c r="M20" s="34"/>
      <c r="N20" s="220"/>
      <c r="O20" s="223">
        <f t="shared" si="0"/>
      </c>
      <c r="P20" s="32">
        <f t="shared" si="15"/>
      </c>
      <c r="Q20" s="15">
        <f t="shared" si="16"/>
      </c>
      <c r="R20" s="32"/>
      <c r="S20" s="32">
        <f t="shared" si="1"/>
      </c>
      <c r="T20" s="32" t="e">
        <f t="shared" si="17"/>
        <v>#VALUE!</v>
      </c>
      <c r="U20" s="32" t="e">
        <f t="shared" si="21"/>
        <v>#VALUE!</v>
      </c>
      <c r="V20" s="32">
        <f t="shared" si="2"/>
        <v>0</v>
      </c>
      <c r="W20" s="32" t="e">
        <f t="shared" si="22"/>
        <v>#VALUE!</v>
      </c>
      <c r="X20" s="32" t="e">
        <f t="shared" si="23"/>
        <v>#VALUE!</v>
      </c>
      <c r="Y20" s="32">
        <f t="shared" si="3"/>
      </c>
      <c r="Z20" s="32">
        <f t="shared" si="4"/>
      </c>
      <c r="AA20" s="32">
        <f t="shared" si="5"/>
      </c>
      <c r="AB20" s="306">
        <f t="shared" si="18"/>
      </c>
      <c r="AC20" s="118">
        <f t="shared" si="6"/>
      </c>
      <c r="AD20" s="32">
        <f t="shared" si="7"/>
      </c>
      <c r="AE20" s="37">
        <f t="shared" si="8"/>
        <v>0</v>
      </c>
      <c r="AF20" s="37" t="e">
        <f t="shared" si="24"/>
        <v>#VALUE!</v>
      </c>
      <c r="AG20" s="37">
        <f t="shared" si="9"/>
      </c>
      <c r="AH20" s="37">
        <f t="shared" si="10"/>
      </c>
      <c r="AI20" s="32">
        <f t="shared" si="11"/>
      </c>
      <c r="AJ20" s="32">
        <f t="shared" si="12"/>
      </c>
      <c r="AK20" s="32">
        <f t="shared" si="13"/>
      </c>
      <c r="AL20" s="215">
        <f t="shared" si="14"/>
      </c>
      <c r="AM20" s="32">
        <f t="shared" si="19"/>
        <v>0</v>
      </c>
      <c r="AN20" s="215">
        <f t="shared" si="20"/>
        <v>0</v>
      </c>
      <c r="AO20" s="43"/>
    </row>
    <row r="21" spans="2:41" ht="12.75">
      <c r="B21" s="112"/>
      <c r="C21" s="238"/>
      <c r="D21" s="233"/>
      <c r="E21" s="169"/>
      <c r="F21" s="33"/>
      <c r="G21" s="33"/>
      <c r="H21" s="33"/>
      <c r="I21" s="208"/>
      <c r="J21" s="34"/>
      <c r="K21" s="208"/>
      <c r="L21" s="34"/>
      <c r="M21" s="34"/>
      <c r="N21" s="220"/>
      <c r="O21" s="223">
        <f t="shared" si="0"/>
      </c>
      <c r="P21" s="32">
        <f t="shared" si="15"/>
      </c>
      <c r="Q21" s="15">
        <f t="shared" si="16"/>
      </c>
      <c r="R21" s="32">
        <f aca="true" t="shared" si="25" ref="R21:R27">IF(N21&gt;0,N21/H21,"")</f>
      </c>
      <c r="S21" s="32">
        <f t="shared" si="1"/>
      </c>
      <c r="T21" s="32" t="e">
        <f t="shared" si="17"/>
        <v>#VALUE!</v>
      </c>
      <c r="U21" s="32" t="e">
        <f t="shared" si="21"/>
        <v>#VALUE!</v>
      </c>
      <c r="V21" s="32">
        <f t="shared" si="2"/>
        <v>0</v>
      </c>
      <c r="W21" s="32" t="e">
        <f t="shared" si="22"/>
        <v>#VALUE!</v>
      </c>
      <c r="X21" s="32" t="e">
        <f t="shared" si="23"/>
        <v>#VALUE!</v>
      </c>
      <c r="Y21" s="32">
        <f t="shared" si="3"/>
      </c>
      <c r="Z21" s="32">
        <f t="shared" si="4"/>
      </c>
      <c r="AA21" s="32">
        <f t="shared" si="5"/>
      </c>
      <c r="AB21" s="306">
        <f t="shared" si="18"/>
      </c>
      <c r="AC21" s="118">
        <f t="shared" si="6"/>
      </c>
      <c r="AD21" s="32">
        <f t="shared" si="7"/>
      </c>
      <c r="AE21" s="37">
        <f t="shared" si="8"/>
        <v>0</v>
      </c>
      <c r="AF21" s="37" t="e">
        <f t="shared" si="24"/>
        <v>#VALUE!</v>
      </c>
      <c r="AG21" s="37">
        <f t="shared" si="9"/>
      </c>
      <c r="AH21" s="37">
        <f t="shared" si="10"/>
      </c>
      <c r="AI21" s="32">
        <f t="shared" si="11"/>
      </c>
      <c r="AJ21" s="32">
        <f t="shared" si="12"/>
      </c>
      <c r="AK21" s="32">
        <f t="shared" si="13"/>
      </c>
      <c r="AL21" s="215">
        <f t="shared" si="14"/>
      </c>
      <c r="AM21" s="32">
        <f t="shared" si="19"/>
        <v>0</v>
      </c>
      <c r="AN21" s="215">
        <f t="shared" si="20"/>
        <v>0</v>
      </c>
      <c r="AO21" s="43"/>
    </row>
    <row r="22" spans="1:41" ht="12.75">
      <c r="A22" s="26"/>
      <c r="B22" s="112"/>
      <c r="C22" s="239"/>
      <c r="D22" s="234"/>
      <c r="E22" s="151"/>
      <c r="F22" s="33"/>
      <c r="G22" s="33"/>
      <c r="H22" s="33"/>
      <c r="I22" s="208"/>
      <c r="J22" s="34"/>
      <c r="K22" s="208"/>
      <c r="L22" s="34"/>
      <c r="M22" s="34"/>
      <c r="N22" s="220"/>
      <c r="O22" s="223">
        <f t="shared" si="0"/>
      </c>
      <c r="P22" s="32">
        <f t="shared" si="15"/>
      </c>
      <c r="Q22" s="15">
        <f t="shared" si="16"/>
      </c>
      <c r="R22" s="32">
        <f t="shared" si="25"/>
      </c>
      <c r="S22" s="32">
        <f t="shared" si="1"/>
      </c>
      <c r="T22" s="32" t="e">
        <f t="shared" si="17"/>
        <v>#VALUE!</v>
      </c>
      <c r="U22" s="32" t="e">
        <f t="shared" si="21"/>
        <v>#VALUE!</v>
      </c>
      <c r="V22" s="32">
        <f t="shared" si="2"/>
        <v>0</v>
      </c>
      <c r="W22" s="32" t="e">
        <f t="shared" si="22"/>
        <v>#VALUE!</v>
      </c>
      <c r="X22" s="32" t="e">
        <f t="shared" si="23"/>
        <v>#VALUE!</v>
      </c>
      <c r="Y22" s="32">
        <f t="shared" si="3"/>
      </c>
      <c r="Z22" s="32">
        <f t="shared" si="4"/>
      </c>
      <c r="AA22" s="32">
        <f t="shared" si="5"/>
      </c>
      <c r="AB22" s="306">
        <f t="shared" si="18"/>
      </c>
      <c r="AC22" s="118">
        <f t="shared" si="6"/>
      </c>
      <c r="AD22" s="32">
        <f t="shared" si="7"/>
      </c>
      <c r="AE22" s="37">
        <f t="shared" si="8"/>
        <v>0</v>
      </c>
      <c r="AF22" s="37" t="e">
        <f t="shared" si="24"/>
        <v>#VALUE!</v>
      </c>
      <c r="AG22" s="37">
        <f t="shared" si="9"/>
      </c>
      <c r="AH22" s="37">
        <f t="shared" si="10"/>
      </c>
      <c r="AI22" s="32">
        <f t="shared" si="11"/>
      </c>
      <c r="AJ22" s="32">
        <f t="shared" si="12"/>
      </c>
      <c r="AK22" s="32">
        <f t="shared" si="13"/>
      </c>
      <c r="AL22" s="215">
        <f t="shared" si="14"/>
      </c>
      <c r="AM22" s="32">
        <f t="shared" si="19"/>
        <v>0</v>
      </c>
      <c r="AN22" s="215">
        <f t="shared" si="20"/>
        <v>0</v>
      </c>
      <c r="AO22" s="43"/>
    </row>
    <row r="23" spans="2:41" ht="12.75">
      <c r="B23" s="112"/>
      <c r="C23" s="238"/>
      <c r="D23" s="235"/>
      <c r="E23" s="150"/>
      <c r="F23" s="33"/>
      <c r="G23" s="33"/>
      <c r="H23" s="33"/>
      <c r="I23" s="208"/>
      <c r="J23" s="34"/>
      <c r="K23" s="208"/>
      <c r="L23" s="34"/>
      <c r="M23" s="34"/>
      <c r="N23" s="220"/>
      <c r="O23" s="223">
        <f t="shared" si="0"/>
      </c>
      <c r="P23" s="32">
        <f t="shared" si="15"/>
      </c>
      <c r="Q23" s="15">
        <f t="shared" si="16"/>
      </c>
      <c r="R23" s="32">
        <f t="shared" si="25"/>
      </c>
      <c r="S23" s="32">
        <f t="shared" si="1"/>
      </c>
      <c r="T23" s="32" t="e">
        <f t="shared" si="17"/>
        <v>#VALUE!</v>
      </c>
      <c r="U23" s="32" t="e">
        <f t="shared" si="21"/>
        <v>#VALUE!</v>
      </c>
      <c r="V23" s="32">
        <f t="shared" si="2"/>
        <v>0</v>
      </c>
      <c r="W23" s="32" t="e">
        <f t="shared" si="22"/>
        <v>#VALUE!</v>
      </c>
      <c r="X23" s="32" t="e">
        <f t="shared" si="23"/>
        <v>#VALUE!</v>
      </c>
      <c r="Y23" s="32">
        <f t="shared" si="3"/>
      </c>
      <c r="Z23" s="32">
        <f t="shared" si="4"/>
      </c>
      <c r="AA23" s="32">
        <f t="shared" si="5"/>
      </c>
      <c r="AB23" s="306">
        <f t="shared" si="18"/>
      </c>
      <c r="AC23" s="118">
        <f t="shared" si="6"/>
      </c>
      <c r="AD23" s="32">
        <f t="shared" si="7"/>
      </c>
      <c r="AE23" s="37">
        <f t="shared" si="8"/>
        <v>0</v>
      </c>
      <c r="AF23" s="37" t="e">
        <f t="shared" si="24"/>
        <v>#VALUE!</v>
      </c>
      <c r="AG23" s="37">
        <f t="shared" si="9"/>
      </c>
      <c r="AH23" s="37">
        <f t="shared" si="10"/>
      </c>
      <c r="AI23" s="32">
        <f t="shared" si="11"/>
      </c>
      <c r="AJ23" s="32">
        <f t="shared" si="12"/>
      </c>
      <c r="AK23" s="32">
        <f t="shared" si="13"/>
      </c>
      <c r="AL23" s="215">
        <f t="shared" si="14"/>
      </c>
      <c r="AM23" s="32">
        <f t="shared" si="19"/>
        <v>0</v>
      </c>
      <c r="AN23" s="215">
        <f t="shared" si="20"/>
        <v>0</v>
      </c>
      <c r="AO23" s="43"/>
    </row>
    <row r="24" spans="1:41" ht="12.75">
      <c r="A24" s="26"/>
      <c r="B24" s="112"/>
      <c r="C24" s="239"/>
      <c r="D24" s="234"/>
      <c r="E24" s="151"/>
      <c r="F24" s="33"/>
      <c r="G24" s="33"/>
      <c r="H24" s="33"/>
      <c r="I24" s="208"/>
      <c r="J24" s="34"/>
      <c r="K24" s="208"/>
      <c r="L24" s="34"/>
      <c r="M24" s="34"/>
      <c r="N24" s="220"/>
      <c r="O24" s="223">
        <f t="shared" si="0"/>
      </c>
      <c r="P24" s="32">
        <f t="shared" si="15"/>
      </c>
      <c r="Q24" s="15">
        <f t="shared" si="16"/>
      </c>
      <c r="R24" s="32">
        <f t="shared" si="25"/>
      </c>
      <c r="S24" s="32">
        <f t="shared" si="1"/>
      </c>
      <c r="T24" s="32" t="e">
        <f t="shared" si="17"/>
        <v>#VALUE!</v>
      </c>
      <c r="U24" s="32" t="e">
        <f t="shared" si="21"/>
        <v>#VALUE!</v>
      </c>
      <c r="V24" s="32">
        <f t="shared" si="2"/>
        <v>0</v>
      </c>
      <c r="W24" s="32" t="e">
        <f t="shared" si="22"/>
        <v>#VALUE!</v>
      </c>
      <c r="X24" s="32" t="e">
        <f t="shared" si="23"/>
        <v>#VALUE!</v>
      </c>
      <c r="Y24" s="32">
        <f t="shared" si="3"/>
      </c>
      <c r="Z24" s="32">
        <f t="shared" si="4"/>
      </c>
      <c r="AA24" s="32">
        <f t="shared" si="5"/>
      </c>
      <c r="AB24" s="306">
        <f t="shared" si="18"/>
      </c>
      <c r="AC24" s="118">
        <f t="shared" si="6"/>
      </c>
      <c r="AD24" s="32">
        <f t="shared" si="7"/>
      </c>
      <c r="AE24" s="37">
        <f t="shared" si="8"/>
        <v>0</v>
      </c>
      <c r="AF24" s="37" t="e">
        <f t="shared" si="24"/>
        <v>#VALUE!</v>
      </c>
      <c r="AG24" s="37">
        <f t="shared" si="9"/>
      </c>
      <c r="AH24" s="37">
        <f t="shared" si="10"/>
      </c>
      <c r="AI24" s="32">
        <f t="shared" si="11"/>
      </c>
      <c r="AJ24" s="32">
        <f t="shared" si="12"/>
      </c>
      <c r="AK24" s="32">
        <f t="shared" si="13"/>
      </c>
      <c r="AL24" s="215">
        <f t="shared" si="14"/>
      </c>
      <c r="AM24" s="32">
        <f t="shared" si="19"/>
        <v>0</v>
      </c>
      <c r="AN24" s="215">
        <f t="shared" si="20"/>
        <v>0</v>
      </c>
      <c r="AO24" s="43"/>
    </row>
    <row r="25" spans="2:41" ht="12.75">
      <c r="B25" s="112"/>
      <c r="C25" s="238"/>
      <c r="D25" s="234"/>
      <c r="E25" s="151"/>
      <c r="F25" s="33"/>
      <c r="G25" s="33"/>
      <c r="H25" s="33"/>
      <c r="I25" s="208"/>
      <c r="J25" s="34"/>
      <c r="K25" s="208"/>
      <c r="L25" s="34"/>
      <c r="M25" s="34"/>
      <c r="N25" s="220"/>
      <c r="O25" s="223">
        <f t="shared" si="0"/>
      </c>
      <c r="P25" s="32">
        <f t="shared" si="15"/>
      </c>
      <c r="Q25" s="15">
        <f t="shared" si="16"/>
      </c>
      <c r="R25" s="32">
        <f t="shared" si="25"/>
      </c>
      <c r="S25" s="32">
        <f t="shared" si="1"/>
      </c>
      <c r="T25" s="32" t="e">
        <f t="shared" si="17"/>
        <v>#VALUE!</v>
      </c>
      <c r="U25" s="32" t="e">
        <f t="shared" si="21"/>
        <v>#VALUE!</v>
      </c>
      <c r="V25" s="32">
        <f t="shared" si="2"/>
        <v>0</v>
      </c>
      <c r="W25" s="32" t="e">
        <f t="shared" si="22"/>
        <v>#VALUE!</v>
      </c>
      <c r="X25" s="32" t="e">
        <f t="shared" si="23"/>
        <v>#VALUE!</v>
      </c>
      <c r="Y25" s="32">
        <f t="shared" si="3"/>
      </c>
      <c r="Z25" s="32">
        <f t="shared" si="4"/>
      </c>
      <c r="AA25" s="32">
        <f t="shared" si="5"/>
      </c>
      <c r="AB25" s="306">
        <f t="shared" si="18"/>
      </c>
      <c r="AC25" s="118">
        <f t="shared" si="6"/>
      </c>
      <c r="AD25" s="32">
        <f t="shared" si="7"/>
      </c>
      <c r="AE25" s="37">
        <f t="shared" si="8"/>
        <v>0</v>
      </c>
      <c r="AF25" s="37" t="e">
        <f t="shared" si="24"/>
        <v>#VALUE!</v>
      </c>
      <c r="AG25" s="37">
        <f t="shared" si="9"/>
      </c>
      <c r="AH25" s="37">
        <f t="shared" si="10"/>
      </c>
      <c r="AI25" s="32">
        <f t="shared" si="11"/>
      </c>
      <c r="AJ25" s="32">
        <f t="shared" si="12"/>
      </c>
      <c r="AK25" s="32">
        <f t="shared" si="13"/>
      </c>
      <c r="AL25" s="215">
        <f t="shared" si="14"/>
      </c>
      <c r="AM25" s="32">
        <f t="shared" si="19"/>
        <v>0</v>
      </c>
      <c r="AN25" s="215">
        <f t="shared" si="20"/>
        <v>0</v>
      </c>
      <c r="AO25" s="43"/>
    </row>
    <row r="26" spans="2:41" ht="12.75">
      <c r="B26" s="112"/>
      <c r="C26" s="239"/>
      <c r="D26" s="233"/>
      <c r="E26" s="169"/>
      <c r="F26" s="33"/>
      <c r="G26" s="33"/>
      <c r="H26" s="33"/>
      <c r="I26" s="208"/>
      <c r="J26" s="34"/>
      <c r="K26" s="208"/>
      <c r="L26" s="34"/>
      <c r="M26" s="34"/>
      <c r="N26" s="220"/>
      <c r="O26" s="223">
        <f t="shared" si="0"/>
      </c>
      <c r="P26" s="32">
        <f t="shared" si="15"/>
      </c>
      <c r="Q26" s="15">
        <f t="shared" si="16"/>
      </c>
      <c r="R26" s="32">
        <f t="shared" si="25"/>
      </c>
      <c r="S26" s="32">
        <f t="shared" si="1"/>
      </c>
      <c r="T26" s="32" t="e">
        <f t="shared" si="17"/>
        <v>#VALUE!</v>
      </c>
      <c r="U26" s="32" t="e">
        <f t="shared" si="21"/>
        <v>#VALUE!</v>
      </c>
      <c r="V26" s="32">
        <f t="shared" si="2"/>
        <v>0</v>
      </c>
      <c r="W26" s="32" t="e">
        <f t="shared" si="22"/>
        <v>#VALUE!</v>
      </c>
      <c r="X26" s="32" t="e">
        <f t="shared" si="23"/>
        <v>#VALUE!</v>
      </c>
      <c r="Y26" s="32">
        <f t="shared" si="3"/>
      </c>
      <c r="Z26" s="32">
        <f t="shared" si="4"/>
      </c>
      <c r="AA26" s="32">
        <f t="shared" si="5"/>
      </c>
      <c r="AB26" s="306">
        <f t="shared" si="18"/>
      </c>
      <c r="AC26" s="118">
        <f t="shared" si="6"/>
      </c>
      <c r="AD26" s="32">
        <f t="shared" si="7"/>
      </c>
      <c r="AE26" s="37">
        <f t="shared" si="8"/>
        <v>0</v>
      </c>
      <c r="AF26" s="37" t="e">
        <f t="shared" si="24"/>
        <v>#VALUE!</v>
      </c>
      <c r="AG26" s="37">
        <f t="shared" si="9"/>
      </c>
      <c r="AH26" s="37">
        <f t="shared" si="10"/>
      </c>
      <c r="AI26" s="32">
        <f t="shared" si="11"/>
      </c>
      <c r="AJ26" s="32">
        <f t="shared" si="12"/>
      </c>
      <c r="AK26" s="32">
        <f t="shared" si="13"/>
      </c>
      <c r="AL26" s="215">
        <f t="shared" si="14"/>
      </c>
      <c r="AM26" s="32">
        <f t="shared" si="19"/>
        <v>0</v>
      </c>
      <c r="AN26" s="215">
        <f t="shared" si="20"/>
        <v>0</v>
      </c>
      <c r="AO26" s="43"/>
    </row>
    <row r="27" spans="1:41" ht="12.75">
      <c r="A27" s="26"/>
      <c r="B27" s="112"/>
      <c r="C27" s="240"/>
      <c r="D27" s="236"/>
      <c r="E27" s="170"/>
      <c r="F27" s="38"/>
      <c r="G27" s="38"/>
      <c r="H27" s="38"/>
      <c r="I27" s="210"/>
      <c r="J27" s="39"/>
      <c r="K27" s="210"/>
      <c r="L27" s="39"/>
      <c r="M27" s="39"/>
      <c r="N27" s="221"/>
      <c r="O27" s="224">
        <f t="shared" si="0"/>
      </c>
      <c r="P27" s="35">
        <f t="shared" si="15"/>
      </c>
      <c r="Q27" s="35">
        <f t="shared" si="16"/>
      </c>
      <c r="R27" s="35">
        <f t="shared" si="25"/>
      </c>
      <c r="S27" s="35">
        <f t="shared" si="1"/>
      </c>
      <c r="T27" s="35" t="e">
        <f t="shared" si="17"/>
        <v>#VALUE!</v>
      </c>
      <c r="U27" s="35" t="e">
        <f t="shared" si="21"/>
        <v>#VALUE!</v>
      </c>
      <c r="V27" s="35">
        <f t="shared" si="2"/>
        <v>0</v>
      </c>
      <c r="W27" s="35" t="e">
        <f t="shared" si="22"/>
        <v>#VALUE!</v>
      </c>
      <c r="X27" s="35" t="e">
        <f t="shared" si="23"/>
        <v>#VALUE!</v>
      </c>
      <c r="Y27" s="35">
        <f t="shared" si="3"/>
      </c>
      <c r="Z27" s="35">
        <f t="shared" si="4"/>
      </c>
      <c r="AA27" s="35">
        <f t="shared" si="5"/>
      </c>
      <c r="AB27" s="307">
        <f t="shared" si="18"/>
      </c>
      <c r="AC27" s="119">
        <f t="shared" si="6"/>
      </c>
      <c r="AD27" s="35">
        <f t="shared" si="7"/>
      </c>
      <c r="AE27" s="36">
        <f t="shared" si="8"/>
        <v>0</v>
      </c>
      <c r="AF27" s="36" t="e">
        <f t="shared" si="24"/>
        <v>#VALUE!</v>
      </c>
      <c r="AG27" s="36">
        <f t="shared" si="9"/>
      </c>
      <c r="AH27" s="36">
        <f t="shared" si="10"/>
      </c>
      <c r="AI27" s="35">
        <f t="shared" si="11"/>
      </c>
      <c r="AJ27" s="35">
        <f t="shared" si="12"/>
      </c>
      <c r="AK27" s="35">
        <f t="shared" si="13"/>
      </c>
      <c r="AL27" s="216">
        <f t="shared" si="14"/>
      </c>
      <c r="AM27" s="35">
        <f t="shared" si="19"/>
        <v>0</v>
      </c>
      <c r="AN27" s="216">
        <f t="shared" si="20"/>
        <v>0</v>
      </c>
      <c r="AO27" s="44"/>
    </row>
    <row r="28" spans="18:40" ht="12.75">
      <c r="R28" s="32"/>
      <c r="S28" s="32"/>
      <c r="T28" s="32"/>
      <c r="U28" s="32"/>
      <c r="V28" s="32"/>
      <c r="W28" s="32"/>
      <c r="X28" s="32"/>
      <c r="Y28" s="32"/>
      <c r="Z28" s="32"/>
      <c r="AA28" s="32"/>
      <c r="AB28" s="113"/>
      <c r="AC28" s="118"/>
      <c r="AD28" s="32"/>
      <c r="AE28" s="37"/>
      <c r="AF28" s="37"/>
      <c r="AG28" s="37"/>
      <c r="AH28" s="37"/>
      <c r="AI28" s="32"/>
      <c r="AJ28" s="32"/>
      <c r="AK28" s="32"/>
      <c r="AL28" s="32"/>
      <c r="AM28" s="32"/>
      <c r="AN28" s="32"/>
    </row>
    <row r="29" spans="3:40" ht="12.75">
      <c r="C29" s="3" t="s">
        <v>235</v>
      </c>
      <c r="D29" s="3"/>
      <c r="E29" s="3"/>
      <c r="F29" s="3"/>
      <c r="G29" s="3"/>
      <c r="P29" s="32"/>
      <c r="R29" s="32"/>
      <c r="S29" s="32"/>
      <c r="T29" s="32"/>
      <c r="U29" s="32"/>
      <c r="V29" s="32"/>
      <c r="W29" s="32"/>
      <c r="X29" s="32"/>
      <c r="Y29" s="32"/>
      <c r="Z29" s="32"/>
      <c r="AA29" s="32"/>
      <c r="AB29" s="32"/>
      <c r="AC29" s="58">
        <f>IF(AA29&gt;0,"OBS!","")</f>
      </c>
      <c r="AD29" s="32"/>
      <c r="AE29" s="37"/>
      <c r="AF29" s="37"/>
      <c r="AG29" s="37"/>
      <c r="AH29" s="37"/>
      <c r="AI29" s="32"/>
      <c r="AJ29" s="32"/>
      <c r="AK29" s="32"/>
      <c r="AL29" s="32"/>
      <c r="AM29" s="32"/>
      <c r="AN29" s="32"/>
    </row>
    <row r="30" spans="3:41" ht="13.5" thickBot="1">
      <c r="C30" s="14"/>
      <c r="D30" s="14"/>
      <c r="E30" s="14"/>
      <c r="F30" s="14"/>
      <c r="G30" s="14"/>
      <c r="H30" s="14"/>
      <c r="I30" s="15"/>
      <c r="J30" s="15"/>
      <c r="K30" s="15"/>
      <c r="L30" s="276"/>
      <c r="M30" s="276"/>
      <c r="N30" s="272" t="s">
        <v>236</v>
      </c>
      <c r="O30" s="155"/>
      <c r="P30" s="32"/>
      <c r="Q30" s="14"/>
      <c r="R30" s="32"/>
      <c r="S30" s="32"/>
      <c r="T30" s="32"/>
      <c r="U30" s="32"/>
      <c r="V30" s="32"/>
      <c r="W30" s="32"/>
      <c r="X30" s="32"/>
      <c r="Y30" s="32"/>
      <c r="Z30" s="32"/>
      <c r="AA30" s="32"/>
      <c r="AB30" s="32"/>
      <c r="AC30" s="58">
        <f>IF(AA30&gt;0,"OBS!","")</f>
      </c>
      <c r="AD30" s="32"/>
      <c r="AE30" s="37"/>
      <c r="AF30" s="37"/>
      <c r="AG30" s="37"/>
      <c r="AH30" s="37"/>
      <c r="AI30" s="32"/>
      <c r="AJ30" s="32"/>
      <c r="AK30" s="32"/>
      <c r="AL30" s="32"/>
      <c r="AM30" s="32"/>
      <c r="AN30" s="32"/>
      <c r="AO30" s="14"/>
    </row>
    <row r="31" spans="2:41" ht="13.5" thickBot="1">
      <c r="B31" s="112"/>
      <c r="C31" s="281" t="s">
        <v>234</v>
      </c>
      <c r="D31" s="282" t="str">
        <f>Inställningar!G8</f>
        <v>L</v>
      </c>
      <c r="E31" s="125"/>
      <c r="F31" s="14"/>
      <c r="G31" s="14"/>
      <c r="H31" s="320">
        <f>Inställningar!G12</f>
        <v>45</v>
      </c>
      <c r="I31" s="321">
        <f>Inställningar!G15</f>
        <v>1500</v>
      </c>
      <c r="J31" s="321">
        <f>Inställningar!G18</f>
        <v>0</v>
      </c>
      <c r="K31" s="322">
        <f>Inställningar!G19</f>
        <v>0</v>
      </c>
      <c r="L31" s="277"/>
      <c r="M31" s="277"/>
      <c r="N31" s="278">
        <f>Inställningar!G9</f>
        <v>1500000</v>
      </c>
      <c r="O31" s="228"/>
      <c r="P31" s="156">
        <f>IF(N31&gt;0,AK31+I31+(J31/12)+$R$8,"")</f>
        <v>4725</v>
      </c>
      <c r="Q31" s="157">
        <f>IF(I31&gt;0,AL31+I31,"")</f>
        <v>3057.4999999999995</v>
      </c>
      <c r="R31" s="156">
        <f>IF(N31&gt;0,N31/H31,"")</f>
        <v>33333.333333333336</v>
      </c>
      <c r="S31" s="156">
        <f>IF(N31&gt;0,I31/H31,"")</f>
        <v>33.333333333333336</v>
      </c>
      <c r="T31" s="156">
        <f>N31*$U$5</f>
        <v>225000.00000000003</v>
      </c>
      <c r="U31" s="156">
        <f>T31-$R$7</f>
        <v>-287500</v>
      </c>
      <c r="V31" s="156">
        <f>$Q$5*N31</f>
        <v>0</v>
      </c>
      <c r="W31" s="156">
        <f>V31+U31</f>
        <v>-287500</v>
      </c>
      <c r="X31" s="156">
        <f>IF(U31&gt;0,V31,W31)</f>
        <v>-287500</v>
      </c>
      <c r="Y31" s="156">
        <f aca="true" t="shared" si="26" ref="Y31:Y46">IF(N31&gt;0,AK31/H31,"")</f>
        <v>49.444444444444436</v>
      </c>
      <c r="Z31" s="275"/>
      <c r="AA31" s="156"/>
      <c r="AB31" s="308">
        <f>IF(N31&gt;0,((N31-$R$7)/N31),"")</f>
        <v>0.6583333333333333</v>
      </c>
      <c r="AC31" s="158">
        <f>IF(N31&gt;0,IF(AA31&gt;0,AB31,""),"")</f>
      </c>
      <c r="AD31" s="156">
        <f>Inställningar!G30</f>
        <v>0</v>
      </c>
      <c r="AE31" s="159">
        <f>$R$5*N31</f>
        <v>1275000</v>
      </c>
      <c r="AF31" s="159">
        <f>AE31+W31</f>
        <v>987500</v>
      </c>
      <c r="AG31" s="159">
        <f>Inställningar!G28</f>
        <v>1000000</v>
      </c>
      <c r="AH31" s="159"/>
      <c r="AI31" s="156">
        <f>IF(N31&gt;0,(AA31+AD31)*$Q$4/12,"")</f>
        <v>0</v>
      </c>
      <c r="AJ31" s="156">
        <f>IF(N31&gt;0,AG31*$R$4/12,"")</f>
        <v>2224.9999999999995</v>
      </c>
      <c r="AK31" s="156">
        <f>IF(N31&gt;0,AH31+AJ31+AI31,"")</f>
        <v>2224.9999999999995</v>
      </c>
      <c r="AL31" s="217">
        <f>IF(N31&gt;0,0.7*MIN(AK31,100000)+0.8*MAX(0,AK31-100000),"")</f>
        <v>1557.4999999999995</v>
      </c>
      <c r="AM31" s="156">
        <f>IF(D31="V",(V31+AE31-K31)*0.02,0)</f>
        <v>0</v>
      </c>
      <c r="AN31" s="217">
        <f>IF(D31="V",N31*0.015,0)</f>
        <v>0</v>
      </c>
      <c r="AO31" s="160"/>
    </row>
    <row r="32" spans="5:40" ht="12.75">
      <c r="E32" s="14"/>
      <c r="F32" s="14"/>
      <c r="G32" s="14"/>
      <c r="L32" s="15"/>
      <c r="M32" s="15"/>
      <c r="R32" s="32"/>
      <c r="S32" s="32"/>
      <c r="T32" s="32"/>
      <c r="U32" s="32"/>
      <c r="V32" s="32"/>
      <c r="W32" s="32"/>
      <c r="X32" s="32"/>
      <c r="Y32" s="32">
        <f t="shared" si="26"/>
      </c>
      <c r="Z32" s="32"/>
      <c r="AA32" s="121">
        <f>VLOOKUP("x",Prospekt!B16:AL27,22)</f>
        <v>-257499.99999999997</v>
      </c>
      <c r="AB32" s="113"/>
      <c r="AC32" s="118"/>
      <c r="AD32" s="32"/>
      <c r="AE32" s="37"/>
      <c r="AF32" s="37"/>
      <c r="AG32" s="37"/>
      <c r="AH32" s="37"/>
      <c r="AI32" s="32"/>
      <c r="AJ32" s="32"/>
      <c r="AK32" s="32"/>
      <c r="AL32" s="32"/>
      <c r="AM32" s="32"/>
      <c r="AN32" s="32"/>
    </row>
    <row r="33" spans="3:40" ht="12.75">
      <c r="C33" s="3" t="s">
        <v>289</v>
      </c>
      <c r="D33" s="3"/>
      <c r="E33" s="3"/>
      <c r="F33" s="3"/>
      <c r="G33" s="3"/>
      <c r="R33" s="32"/>
      <c r="S33" s="32"/>
      <c r="T33" s="32"/>
      <c r="U33" s="32"/>
      <c r="V33" s="32"/>
      <c r="W33" s="32"/>
      <c r="X33" s="32"/>
      <c r="Y33" s="32">
        <f t="shared" si="26"/>
      </c>
      <c r="Z33" s="32"/>
      <c r="AA33" s="32"/>
      <c r="AB33" s="113"/>
      <c r="AC33" s="118"/>
      <c r="AD33" s="32"/>
      <c r="AE33" s="37"/>
      <c r="AF33" s="37"/>
      <c r="AG33" s="37"/>
      <c r="AH33" s="37"/>
      <c r="AI33" s="32"/>
      <c r="AJ33" s="32"/>
      <c r="AK33" s="32"/>
      <c r="AL33" s="32"/>
      <c r="AM33" s="32"/>
      <c r="AN33" s="32"/>
    </row>
    <row r="34" spans="3:40" ht="12.75">
      <c r="C34" s="18"/>
      <c r="D34" s="18"/>
      <c r="E34" s="18"/>
      <c r="F34" s="18"/>
      <c r="G34" s="18"/>
      <c r="H34" s="18"/>
      <c r="I34" s="19"/>
      <c r="J34" s="19"/>
      <c r="K34" s="19"/>
      <c r="L34" s="19"/>
      <c r="M34" s="19"/>
      <c r="N34" s="19"/>
      <c r="O34" s="19"/>
      <c r="P34" s="18"/>
      <c r="Q34" s="18"/>
      <c r="R34" s="35"/>
      <c r="S34" s="35"/>
      <c r="T34" s="35"/>
      <c r="U34" s="35"/>
      <c r="V34" s="35"/>
      <c r="W34" s="35"/>
      <c r="X34" s="35"/>
      <c r="Y34" s="35">
        <f t="shared" si="26"/>
      </c>
      <c r="Z34" s="35"/>
      <c r="AA34" s="35"/>
      <c r="AB34" s="120"/>
      <c r="AC34" s="119"/>
      <c r="AD34" s="35"/>
      <c r="AE34" s="36"/>
      <c r="AF34" s="36"/>
      <c r="AG34" s="36"/>
      <c r="AH34" s="36"/>
      <c r="AI34" s="35"/>
      <c r="AJ34" s="35"/>
      <c r="AK34" s="35"/>
      <c r="AL34" s="35"/>
      <c r="AM34" s="35"/>
      <c r="AN34" s="35"/>
    </row>
    <row r="35" spans="3:41" ht="12">
      <c r="C35" s="237"/>
      <c r="D35" s="243"/>
      <c r="E35" s="174"/>
      <c r="F35" s="177"/>
      <c r="G35" s="33"/>
      <c r="H35" s="33"/>
      <c r="I35" s="209"/>
      <c r="J35" s="34"/>
      <c r="K35" s="209"/>
      <c r="L35" s="34"/>
      <c r="M35" s="34"/>
      <c r="N35" s="219"/>
      <c r="O35" s="222">
        <f aca="true" t="shared" si="27" ref="O35:O46">IF(N35&gt;0,AN35+AM35,"")</f>
      </c>
      <c r="P35" s="32">
        <f aca="true" t="shared" si="28" ref="P35:P46">IF(N35&gt;0,AK35+(J35/12)+I35+$R$8,"")</f>
      </c>
      <c r="Q35" s="15">
        <f aca="true" t="shared" si="29" ref="Q35:Q46">IF(N35&gt;0,AL35+(J35/12)+I35,"")</f>
      </c>
      <c r="R35" s="32">
        <f aca="true" t="shared" si="30" ref="R35:R46">IF(N35&gt;0,N35/H35,"")</f>
      </c>
      <c r="S35" s="32">
        <f aca="true" t="shared" si="31" ref="S35:S46">IF(N35&gt;0,I35/H35,"")</f>
      </c>
      <c r="T35" s="32" t="e">
        <f aca="true" t="shared" si="32" ref="T35:T46">(N35*$U$5)+O35</f>
        <v>#VALUE!</v>
      </c>
      <c r="U35" s="32" t="e">
        <f>T35-$R$7</f>
        <v>#VALUE!</v>
      </c>
      <c r="V35" s="32">
        <f aca="true" t="shared" si="33" ref="V35:V46">$Q$5*N35</f>
        <v>0</v>
      </c>
      <c r="W35" s="32" t="e">
        <f>V35+U35</f>
        <v>#VALUE!</v>
      </c>
      <c r="X35" s="32" t="e">
        <f>IF(U35&gt;0,V35,W35)</f>
        <v>#VALUE!</v>
      </c>
      <c r="Y35" s="32">
        <f t="shared" si="26"/>
      </c>
      <c r="Z35" s="32">
        <f aca="true" t="shared" si="34" ref="Z35:Z46">IF(N35&gt;0,N35*0.1,"")</f>
      </c>
      <c r="AA35" s="32">
        <f aca="true" t="shared" si="35" ref="AA35:AA46">IF(N35&gt;0,IF(U35&gt;0,U35,0),"")</f>
      </c>
      <c r="AB35" s="306">
        <f>IF(N35&gt;0,((N35-$R$7)/N35),"")</f>
      </c>
      <c r="AC35" s="118">
        <f aca="true" t="shared" si="36" ref="AC35:AC46">IF(N35&gt;0,IF(AA35&gt;0,AB35,""),"")</f>
      </c>
      <c r="AD35" s="32">
        <f aca="true" t="shared" si="37" ref="AD35:AD46">IF(N35&gt;0,IF(X35&gt;0,X35,0),"")</f>
      </c>
      <c r="AE35" s="37">
        <f aca="true" t="shared" si="38" ref="AE35:AE46">$R$5*N35</f>
        <v>0</v>
      </c>
      <c r="AF35" s="37" t="e">
        <f>AE35+W35</f>
        <v>#VALUE!</v>
      </c>
      <c r="AG35" s="37">
        <f aca="true" t="shared" si="39" ref="AG35:AG46">IF(N35&gt;0,IF(W35&gt;0,AE35,AF35),"")</f>
      </c>
      <c r="AH35" s="37">
        <f aca="true" t="shared" si="40" ref="AH35:AH46">IF(N35&gt;0,($W$5*AA35)/12,"")</f>
      </c>
      <c r="AI35" s="32">
        <f aca="true" t="shared" si="41" ref="AI35:AI46">IF(N35&gt;0,(AA35+AD35)*$Q$4/12,"")</f>
      </c>
      <c r="AJ35" s="32">
        <f aca="true" t="shared" si="42" ref="AJ35:AJ46">IF(N35&gt;0,AG35*$R$4/12,"")</f>
      </c>
      <c r="AK35" s="32">
        <f aca="true" t="shared" si="43" ref="AK35:AK46">IF(N35&gt;0,AH35+AJ35+AI35,"")</f>
      </c>
      <c r="AL35" s="214">
        <f aca="true" t="shared" si="44" ref="AL35:AL46">IF(N35&gt;0,0.7*MIN(AK35,100000)+0.8*MAX(0,AK35-100000),"")</f>
      </c>
      <c r="AM35" s="32">
        <f aca="true" t="shared" si="45" ref="AM35:AM46">IF(D35="V",(V35+AE35-K35)*0.02,0)</f>
        <v>0</v>
      </c>
      <c r="AN35" s="214">
        <f aca="true" t="shared" si="46" ref="AN35:AN46">IF(D35="V",N35*0.015,0)</f>
        <v>0</v>
      </c>
      <c r="AO35" s="45"/>
    </row>
    <row r="36" spans="3:41" ht="12">
      <c r="C36" s="238"/>
      <c r="D36" s="244"/>
      <c r="E36" s="174"/>
      <c r="F36" s="177"/>
      <c r="G36" s="33"/>
      <c r="H36" s="33"/>
      <c r="I36" s="208"/>
      <c r="J36" s="34"/>
      <c r="K36" s="208"/>
      <c r="L36" s="34"/>
      <c r="M36" s="34"/>
      <c r="N36" s="220"/>
      <c r="O36" s="223">
        <f t="shared" si="27"/>
      </c>
      <c r="P36" s="32">
        <f t="shared" si="28"/>
      </c>
      <c r="Q36" s="15">
        <f t="shared" si="29"/>
      </c>
      <c r="R36" s="32">
        <f t="shared" si="30"/>
      </c>
      <c r="S36" s="32">
        <f t="shared" si="31"/>
      </c>
      <c r="T36" s="32" t="e">
        <f t="shared" si="32"/>
        <v>#VALUE!</v>
      </c>
      <c r="U36" s="32" t="e">
        <f aca="true" t="shared" si="47" ref="U36:U46">T36-$R$7</f>
        <v>#VALUE!</v>
      </c>
      <c r="V36" s="32">
        <f t="shared" si="33"/>
        <v>0</v>
      </c>
      <c r="W36" s="32" t="e">
        <f aca="true" t="shared" si="48" ref="W36:W46">V36+U36</f>
        <v>#VALUE!</v>
      </c>
      <c r="X36" s="32" t="e">
        <f aca="true" t="shared" si="49" ref="X36:X46">IF(U36&gt;0,V36,W36)</f>
        <v>#VALUE!</v>
      </c>
      <c r="Y36" s="32">
        <f t="shared" si="26"/>
      </c>
      <c r="Z36" s="32">
        <f t="shared" si="34"/>
      </c>
      <c r="AA36" s="32">
        <f t="shared" si="35"/>
      </c>
      <c r="AB36" s="306">
        <f aca="true" t="shared" si="50" ref="AB36:AB46">IF(N36&gt;0,((N36-$R$7)/N36),"")</f>
      </c>
      <c r="AC36" s="118">
        <f t="shared" si="36"/>
      </c>
      <c r="AD36" s="32">
        <f t="shared" si="37"/>
      </c>
      <c r="AE36" s="37">
        <f t="shared" si="38"/>
        <v>0</v>
      </c>
      <c r="AF36" s="37" t="e">
        <f aca="true" t="shared" si="51" ref="AF36:AF46">AE36+W36</f>
        <v>#VALUE!</v>
      </c>
      <c r="AG36" s="37">
        <f t="shared" si="39"/>
      </c>
      <c r="AH36" s="37">
        <f t="shared" si="40"/>
      </c>
      <c r="AI36" s="32">
        <f t="shared" si="41"/>
      </c>
      <c r="AJ36" s="32">
        <f t="shared" si="42"/>
      </c>
      <c r="AK36" s="32">
        <f t="shared" si="43"/>
      </c>
      <c r="AL36" s="215">
        <f t="shared" si="44"/>
      </c>
      <c r="AM36" s="32">
        <f t="shared" si="45"/>
        <v>0</v>
      </c>
      <c r="AN36" s="215">
        <f t="shared" si="46"/>
        <v>0</v>
      </c>
      <c r="AO36" s="43"/>
    </row>
    <row r="37" spans="3:41" ht="12">
      <c r="C37" s="238"/>
      <c r="D37" s="244"/>
      <c r="E37" s="174"/>
      <c r="F37" s="177"/>
      <c r="G37" s="33"/>
      <c r="H37" s="33"/>
      <c r="I37" s="208"/>
      <c r="J37" s="34"/>
      <c r="K37" s="208"/>
      <c r="L37" s="34"/>
      <c r="M37" s="34"/>
      <c r="N37" s="220"/>
      <c r="O37" s="223">
        <f t="shared" si="27"/>
      </c>
      <c r="P37" s="32">
        <f t="shared" si="28"/>
      </c>
      <c r="Q37" s="15">
        <f t="shared" si="29"/>
      </c>
      <c r="R37" s="32">
        <f t="shared" si="30"/>
      </c>
      <c r="S37" s="32">
        <f t="shared" si="31"/>
      </c>
      <c r="T37" s="32" t="e">
        <f t="shared" si="32"/>
        <v>#VALUE!</v>
      </c>
      <c r="U37" s="32" t="e">
        <f t="shared" si="47"/>
        <v>#VALUE!</v>
      </c>
      <c r="V37" s="32">
        <f t="shared" si="33"/>
        <v>0</v>
      </c>
      <c r="W37" s="32" t="e">
        <f t="shared" si="48"/>
        <v>#VALUE!</v>
      </c>
      <c r="X37" s="32" t="e">
        <f t="shared" si="49"/>
        <v>#VALUE!</v>
      </c>
      <c r="Y37" s="32">
        <f t="shared" si="26"/>
      </c>
      <c r="Z37" s="32">
        <f t="shared" si="34"/>
      </c>
      <c r="AA37" s="32">
        <f t="shared" si="35"/>
      </c>
      <c r="AB37" s="306">
        <f t="shared" si="50"/>
      </c>
      <c r="AC37" s="118">
        <f t="shared" si="36"/>
      </c>
      <c r="AD37" s="32">
        <f t="shared" si="37"/>
      </c>
      <c r="AE37" s="37">
        <f t="shared" si="38"/>
        <v>0</v>
      </c>
      <c r="AF37" s="37" t="e">
        <f t="shared" si="51"/>
        <v>#VALUE!</v>
      </c>
      <c r="AG37" s="37">
        <f t="shared" si="39"/>
      </c>
      <c r="AH37" s="37">
        <f t="shared" si="40"/>
      </c>
      <c r="AI37" s="32">
        <f t="shared" si="41"/>
      </c>
      <c r="AJ37" s="32">
        <f t="shared" si="42"/>
      </c>
      <c r="AK37" s="32">
        <f t="shared" si="43"/>
      </c>
      <c r="AL37" s="215">
        <f t="shared" si="44"/>
      </c>
      <c r="AM37" s="32">
        <f t="shared" si="45"/>
        <v>0</v>
      </c>
      <c r="AN37" s="215">
        <f t="shared" si="46"/>
        <v>0</v>
      </c>
      <c r="AO37" s="43"/>
    </row>
    <row r="38" spans="3:41" ht="12">
      <c r="C38" s="238"/>
      <c r="D38" s="244"/>
      <c r="E38" s="174"/>
      <c r="F38" s="177"/>
      <c r="G38" s="33"/>
      <c r="H38" s="33"/>
      <c r="I38" s="208"/>
      <c r="J38" s="34"/>
      <c r="K38" s="208"/>
      <c r="L38" s="34"/>
      <c r="M38" s="34"/>
      <c r="N38" s="220"/>
      <c r="O38" s="223">
        <f t="shared" si="27"/>
      </c>
      <c r="P38" s="32">
        <f t="shared" si="28"/>
      </c>
      <c r="Q38" s="15">
        <f t="shared" si="29"/>
      </c>
      <c r="R38" s="32">
        <f t="shared" si="30"/>
      </c>
      <c r="S38" s="32">
        <f t="shared" si="31"/>
      </c>
      <c r="T38" s="32" t="e">
        <f t="shared" si="32"/>
        <v>#VALUE!</v>
      </c>
      <c r="U38" s="32" t="e">
        <f t="shared" si="47"/>
        <v>#VALUE!</v>
      </c>
      <c r="V38" s="32">
        <f t="shared" si="33"/>
        <v>0</v>
      </c>
      <c r="W38" s="32" t="e">
        <f t="shared" si="48"/>
        <v>#VALUE!</v>
      </c>
      <c r="X38" s="32" t="e">
        <f t="shared" si="49"/>
        <v>#VALUE!</v>
      </c>
      <c r="Y38" s="32">
        <f t="shared" si="26"/>
      </c>
      <c r="Z38" s="32">
        <f t="shared" si="34"/>
      </c>
      <c r="AA38" s="32">
        <f t="shared" si="35"/>
      </c>
      <c r="AB38" s="306">
        <f t="shared" si="50"/>
      </c>
      <c r="AC38" s="118">
        <f t="shared" si="36"/>
      </c>
      <c r="AD38" s="32">
        <f t="shared" si="37"/>
      </c>
      <c r="AE38" s="37">
        <f t="shared" si="38"/>
        <v>0</v>
      </c>
      <c r="AF38" s="37" t="e">
        <f t="shared" si="51"/>
        <v>#VALUE!</v>
      </c>
      <c r="AG38" s="37">
        <f t="shared" si="39"/>
      </c>
      <c r="AH38" s="37">
        <f t="shared" si="40"/>
      </c>
      <c r="AI38" s="32">
        <f t="shared" si="41"/>
      </c>
      <c r="AJ38" s="32">
        <f t="shared" si="42"/>
      </c>
      <c r="AK38" s="32">
        <f t="shared" si="43"/>
      </c>
      <c r="AL38" s="215">
        <f t="shared" si="44"/>
      </c>
      <c r="AM38" s="32">
        <f t="shared" si="45"/>
        <v>0</v>
      </c>
      <c r="AN38" s="215">
        <f t="shared" si="46"/>
        <v>0</v>
      </c>
      <c r="AO38" s="43"/>
    </row>
    <row r="39" spans="3:41" ht="12">
      <c r="C39" s="238"/>
      <c r="D39" s="244"/>
      <c r="E39" s="174"/>
      <c r="F39" s="177"/>
      <c r="G39" s="33"/>
      <c r="H39" s="33"/>
      <c r="I39" s="208"/>
      <c r="J39" s="34"/>
      <c r="K39" s="208"/>
      <c r="L39" s="34"/>
      <c r="M39" s="34"/>
      <c r="N39" s="220"/>
      <c r="O39" s="223">
        <f t="shared" si="27"/>
      </c>
      <c r="P39" s="32">
        <f t="shared" si="28"/>
      </c>
      <c r="Q39" s="15">
        <f t="shared" si="29"/>
      </c>
      <c r="R39" s="32">
        <f t="shared" si="30"/>
      </c>
      <c r="S39" s="32">
        <f t="shared" si="31"/>
      </c>
      <c r="T39" s="32" t="e">
        <f t="shared" si="32"/>
        <v>#VALUE!</v>
      </c>
      <c r="U39" s="32" t="e">
        <f t="shared" si="47"/>
        <v>#VALUE!</v>
      </c>
      <c r="V39" s="32">
        <f t="shared" si="33"/>
        <v>0</v>
      </c>
      <c r="W39" s="32" t="e">
        <f t="shared" si="48"/>
        <v>#VALUE!</v>
      </c>
      <c r="X39" s="32" t="e">
        <f t="shared" si="49"/>
        <v>#VALUE!</v>
      </c>
      <c r="Y39" s="32">
        <f t="shared" si="26"/>
      </c>
      <c r="Z39" s="32">
        <f t="shared" si="34"/>
      </c>
      <c r="AA39" s="32">
        <f t="shared" si="35"/>
      </c>
      <c r="AB39" s="306">
        <f t="shared" si="50"/>
      </c>
      <c r="AC39" s="118">
        <f t="shared" si="36"/>
      </c>
      <c r="AD39" s="32">
        <f t="shared" si="37"/>
      </c>
      <c r="AE39" s="37">
        <f t="shared" si="38"/>
        <v>0</v>
      </c>
      <c r="AF39" s="37" t="e">
        <f t="shared" si="51"/>
        <v>#VALUE!</v>
      </c>
      <c r="AG39" s="37">
        <f t="shared" si="39"/>
      </c>
      <c r="AH39" s="37">
        <f t="shared" si="40"/>
      </c>
      <c r="AI39" s="32">
        <f t="shared" si="41"/>
      </c>
      <c r="AJ39" s="32">
        <f t="shared" si="42"/>
      </c>
      <c r="AK39" s="32">
        <f t="shared" si="43"/>
      </c>
      <c r="AL39" s="215">
        <f t="shared" si="44"/>
      </c>
      <c r="AM39" s="32">
        <f t="shared" si="45"/>
        <v>0</v>
      </c>
      <c r="AN39" s="215">
        <f t="shared" si="46"/>
        <v>0</v>
      </c>
      <c r="AO39" s="43"/>
    </row>
    <row r="40" spans="3:41" ht="12">
      <c r="C40" s="238"/>
      <c r="D40" s="244"/>
      <c r="E40" s="174"/>
      <c r="F40" s="177"/>
      <c r="G40" s="33"/>
      <c r="H40" s="33"/>
      <c r="I40" s="208"/>
      <c r="J40" s="34"/>
      <c r="K40" s="208"/>
      <c r="L40" s="34"/>
      <c r="M40" s="34"/>
      <c r="N40" s="220"/>
      <c r="O40" s="223">
        <f t="shared" si="27"/>
      </c>
      <c r="P40" s="32">
        <f t="shared" si="28"/>
      </c>
      <c r="Q40" s="15">
        <f t="shared" si="29"/>
      </c>
      <c r="R40" s="32">
        <f t="shared" si="30"/>
      </c>
      <c r="S40" s="32">
        <f t="shared" si="31"/>
      </c>
      <c r="T40" s="32" t="e">
        <f t="shared" si="32"/>
        <v>#VALUE!</v>
      </c>
      <c r="U40" s="32" t="e">
        <f t="shared" si="47"/>
        <v>#VALUE!</v>
      </c>
      <c r="V40" s="32">
        <f t="shared" si="33"/>
        <v>0</v>
      </c>
      <c r="W40" s="32" t="e">
        <f t="shared" si="48"/>
        <v>#VALUE!</v>
      </c>
      <c r="X40" s="32" t="e">
        <f t="shared" si="49"/>
        <v>#VALUE!</v>
      </c>
      <c r="Y40" s="32">
        <f t="shared" si="26"/>
      </c>
      <c r="Z40" s="32">
        <f t="shared" si="34"/>
      </c>
      <c r="AA40" s="32">
        <f t="shared" si="35"/>
      </c>
      <c r="AB40" s="306">
        <f t="shared" si="50"/>
      </c>
      <c r="AC40" s="118">
        <f t="shared" si="36"/>
      </c>
      <c r="AD40" s="32">
        <f t="shared" si="37"/>
      </c>
      <c r="AE40" s="37">
        <f t="shared" si="38"/>
        <v>0</v>
      </c>
      <c r="AF40" s="37" t="e">
        <f t="shared" si="51"/>
        <v>#VALUE!</v>
      </c>
      <c r="AG40" s="37">
        <f t="shared" si="39"/>
      </c>
      <c r="AH40" s="37">
        <f t="shared" si="40"/>
      </c>
      <c r="AI40" s="32">
        <f t="shared" si="41"/>
      </c>
      <c r="AJ40" s="32">
        <f t="shared" si="42"/>
      </c>
      <c r="AK40" s="32">
        <f t="shared" si="43"/>
      </c>
      <c r="AL40" s="215">
        <f t="shared" si="44"/>
      </c>
      <c r="AM40" s="32">
        <f t="shared" si="45"/>
        <v>0</v>
      </c>
      <c r="AN40" s="215">
        <f t="shared" si="46"/>
        <v>0</v>
      </c>
      <c r="AO40" s="43"/>
    </row>
    <row r="41" spans="3:41" ht="12">
      <c r="C41" s="238"/>
      <c r="D41" s="244"/>
      <c r="E41" s="174"/>
      <c r="F41" s="177"/>
      <c r="G41" s="33"/>
      <c r="H41" s="33"/>
      <c r="I41" s="208"/>
      <c r="J41" s="34"/>
      <c r="K41" s="208"/>
      <c r="L41" s="34"/>
      <c r="M41" s="34"/>
      <c r="N41" s="220"/>
      <c r="O41" s="223">
        <f t="shared" si="27"/>
      </c>
      <c r="P41" s="32">
        <f t="shared" si="28"/>
      </c>
      <c r="Q41" s="15">
        <f t="shared" si="29"/>
      </c>
      <c r="R41" s="32">
        <f t="shared" si="30"/>
      </c>
      <c r="S41" s="32">
        <f t="shared" si="31"/>
      </c>
      <c r="T41" s="32" t="e">
        <f t="shared" si="32"/>
        <v>#VALUE!</v>
      </c>
      <c r="U41" s="32" t="e">
        <f t="shared" si="47"/>
        <v>#VALUE!</v>
      </c>
      <c r="V41" s="32">
        <f t="shared" si="33"/>
        <v>0</v>
      </c>
      <c r="W41" s="32" t="e">
        <f t="shared" si="48"/>
        <v>#VALUE!</v>
      </c>
      <c r="X41" s="32" t="e">
        <f t="shared" si="49"/>
        <v>#VALUE!</v>
      </c>
      <c r="Y41" s="32">
        <f t="shared" si="26"/>
      </c>
      <c r="Z41" s="32">
        <f t="shared" si="34"/>
      </c>
      <c r="AA41" s="32">
        <f t="shared" si="35"/>
      </c>
      <c r="AB41" s="306">
        <f t="shared" si="50"/>
      </c>
      <c r="AC41" s="118">
        <f t="shared" si="36"/>
      </c>
      <c r="AD41" s="32">
        <f t="shared" si="37"/>
      </c>
      <c r="AE41" s="37">
        <f t="shared" si="38"/>
        <v>0</v>
      </c>
      <c r="AF41" s="37" t="e">
        <f t="shared" si="51"/>
        <v>#VALUE!</v>
      </c>
      <c r="AG41" s="37">
        <f t="shared" si="39"/>
      </c>
      <c r="AH41" s="37">
        <f t="shared" si="40"/>
      </c>
      <c r="AI41" s="32">
        <f t="shared" si="41"/>
      </c>
      <c r="AJ41" s="32">
        <f t="shared" si="42"/>
      </c>
      <c r="AK41" s="32">
        <f t="shared" si="43"/>
      </c>
      <c r="AL41" s="215">
        <f t="shared" si="44"/>
      </c>
      <c r="AM41" s="32">
        <f t="shared" si="45"/>
        <v>0</v>
      </c>
      <c r="AN41" s="215">
        <f t="shared" si="46"/>
        <v>0</v>
      </c>
      <c r="AO41" s="43"/>
    </row>
    <row r="42" spans="3:41" ht="12">
      <c r="C42" s="238"/>
      <c r="D42" s="244"/>
      <c r="E42" s="174"/>
      <c r="F42" s="177"/>
      <c r="G42" s="33"/>
      <c r="H42" s="33"/>
      <c r="I42" s="208"/>
      <c r="J42" s="34"/>
      <c r="K42" s="208"/>
      <c r="L42" s="34"/>
      <c r="M42" s="34"/>
      <c r="N42" s="220"/>
      <c r="O42" s="223">
        <f t="shared" si="27"/>
      </c>
      <c r="P42" s="32">
        <f t="shared" si="28"/>
      </c>
      <c r="Q42" s="15">
        <f t="shared" si="29"/>
      </c>
      <c r="R42" s="32">
        <f t="shared" si="30"/>
      </c>
      <c r="S42" s="32">
        <f t="shared" si="31"/>
      </c>
      <c r="T42" s="32" t="e">
        <f t="shared" si="32"/>
        <v>#VALUE!</v>
      </c>
      <c r="U42" s="32" t="e">
        <f t="shared" si="47"/>
        <v>#VALUE!</v>
      </c>
      <c r="V42" s="32">
        <f t="shared" si="33"/>
        <v>0</v>
      </c>
      <c r="W42" s="32" t="e">
        <f t="shared" si="48"/>
        <v>#VALUE!</v>
      </c>
      <c r="X42" s="32" t="e">
        <f t="shared" si="49"/>
        <v>#VALUE!</v>
      </c>
      <c r="Y42" s="32">
        <f t="shared" si="26"/>
      </c>
      <c r="Z42" s="32">
        <f t="shared" si="34"/>
      </c>
      <c r="AA42" s="32">
        <f t="shared" si="35"/>
      </c>
      <c r="AB42" s="306">
        <f t="shared" si="50"/>
      </c>
      <c r="AC42" s="118">
        <f t="shared" si="36"/>
      </c>
      <c r="AD42" s="32">
        <f t="shared" si="37"/>
      </c>
      <c r="AE42" s="37">
        <f t="shared" si="38"/>
        <v>0</v>
      </c>
      <c r="AF42" s="37" t="e">
        <f t="shared" si="51"/>
        <v>#VALUE!</v>
      </c>
      <c r="AG42" s="37">
        <f t="shared" si="39"/>
      </c>
      <c r="AH42" s="37">
        <f t="shared" si="40"/>
      </c>
      <c r="AI42" s="32">
        <f t="shared" si="41"/>
      </c>
      <c r="AJ42" s="32">
        <f t="shared" si="42"/>
      </c>
      <c r="AK42" s="32">
        <f t="shared" si="43"/>
      </c>
      <c r="AL42" s="215">
        <f t="shared" si="44"/>
      </c>
      <c r="AM42" s="32">
        <f t="shared" si="45"/>
        <v>0</v>
      </c>
      <c r="AN42" s="215">
        <f t="shared" si="46"/>
        <v>0</v>
      </c>
      <c r="AO42" s="43"/>
    </row>
    <row r="43" spans="3:41" ht="12">
      <c r="C43" s="238"/>
      <c r="D43" s="244"/>
      <c r="E43" s="174"/>
      <c r="F43" s="177"/>
      <c r="G43" s="33"/>
      <c r="H43" s="33"/>
      <c r="I43" s="208"/>
      <c r="J43" s="34"/>
      <c r="K43" s="208"/>
      <c r="L43" s="34"/>
      <c r="M43" s="34"/>
      <c r="N43" s="220"/>
      <c r="O43" s="223">
        <f t="shared" si="27"/>
      </c>
      <c r="P43" s="32">
        <f t="shared" si="28"/>
      </c>
      <c r="Q43" s="15">
        <f t="shared" si="29"/>
      </c>
      <c r="R43" s="32">
        <f t="shared" si="30"/>
      </c>
      <c r="S43" s="32">
        <f t="shared" si="31"/>
      </c>
      <c r="T43" s="32" t="e">
        <f t="shared" si="32"/>
        <v>#VALUE!</v>
      </c>
      <c r="U43" s="32" t="e">
        <f t="shared" si="47"/>
        <v>#VALUE!</v>
      </c>
      <c r="V43" s="32">
        <f t="shared" si="33"/>
        <v>0</v>
      </c>
      <c r="W43" s="32" t="e">
        <f t="shared" si="48"/>
        <v>#VALUE!</v>
      </c>
      <c r="X43" s="32" t="e">
        <f t="shared" si="49"/>
        <v>#VALUE!</v>
      </c>
      <c r="Y43" s="32">
        <f t="shared" si="26"/>
      </c>
      <c r="Z43" s="32">
        <f t="shared" si="34"/>
      </c>
      <c r="AA43" s="32">
        <f t="shared" si="35"/>
      </c>
      <c r="AB43" s="306">
        <f t="shared" si="50"/>
      </c>
      <c r="AC43" s="118">
        <f t="shared" si="36"/>
      </c>
      <c r="AD43" s="32">
        <f t="shared" si="37"/>
      </c>
      <c r="AE43" s="37">
        <f t="shared" si="38"/>
        <v>0</v>
      </c>
      <c r="AF43" s="37" t="e">
        <f t="shared" si="51"/>
        <v>#VALUE!</v>
      </c>
      <c r="AG43" s="37">
        <f t="shared" si="39"/>
      </c>
      <c r="AH43" s="37">
        <f t="shared" si="40"/>
      </c>
      <c r="AI43" s="32">
        <f t="shared" si="41"/>
      </c>
      <c r="AJ43" s="32">
        <f t="shared" si="42"/>
      </c>
      <c r="AK43" s="32">
        <f t="shared" si="43"/>
      </c>
      <c r="AL43" s="215">
        <f t="shared" si="44"/>
      </c>
      <c r="AM43" s="32">
        <f t="shared" si="45"/>
        <v>0</v>
      </c>
      <c r="AN43" s="215">
        <f t="shared" si="46"/>
        <v>0</v>
      </c>
      <c r="AO43" s="43"/>
    </row>
    <row r="44" spans="3:41" ht="12">
      <c r="C44" s="238"/>
      <c r="D44" s="244"/>
      <c r="E44" s="174"/>
      <c r="F44" s="177"/>
      <c r="G44" s="33"/>
      <c r="H44" s="33"/>
      <c r="I44" s="208"/>
      <c r="J44" s="34"/>
      <c r="K44" s="208"/>
      <c r="L44" s="34"/>
      <c r="M44" s="34"/>
      <c r="N44" s="220"/>
      <c r="O44" s="223">
        <f t="shared" si="27"/>
      </c>
      <c r="P44" s="32">
        <f t="shared" si="28"/>
      </c>
      <c r="Q44" s="15">
        <f t="shared" si="29"/>
      </c>
      <c r="R44" s="32">
        <f t="shared" si="30"/>
      </c>
      <c r="S44" s="32">
        <f t="shared" si="31"/>
      </c>
      <c r="T44" s="32" t="e">
        <f t="shared" si="32"/>
        <v>#VALUE!</v>
      </c>
      <c r="U44" s="32" t="e">
        <f t="shared" si="47"/>
        <v>#VALUE!</v>
      </c>
      <c r="V44" s="32">
        <f t="shared" si="33"/>
        <v>0</v>
      </c>
      <c r="W44" s="32" t="e">
        <f t="shared" si="48"/>
        <v>#VALUE!</v>
      </c>
      <c r="X44" s="32" t="e">
        <f t="shared" si="49"/>
        <v>#VALUE!</v>
      </c>
      <c r="Y44" s="32">
        <f t="shared" si="26"/>
      </c>
      <c r="Z44" s="32">
        <f t="shared" si="34"/>
      </c>
      <c r="AA44" s="32">
        <f t="shared" si="35"/>
      </c>
      <c r="AB44" s="306">
        <f t="shared" si="50"/>
      </c>
      <c r="AC44" s="118">
        <f t="shared" si="36"/>
      </c>
      <c r="AD44" s="32">
        <f t="shared" si="37"/>
      </c>
      <c r="AE44" s="37">
        <f t="shared" si="38"/>
        <v>0</v>
      </c>
      <c r="AF44" s="37" t="e">
        <f t="shared" si="51"/>
        <v>#VALUE!</v>
      </c>
      <c r="AG44" s="37">
        <f t="shared" si="39"/>
      </c>
      <c r="AH44" s="37">
        <f t="shared" si="40"/>
      </c>
      <c r="AI44" s="32">
        <f t="shared" si="41"/>
      </c>
      <c r="AJ44" s="32">
        <f t="shared" si="42"/>
      </c>
      <c r="AK44" s="32">
        <f t="shared" si="43"/>
      </c>
      <c r="AL44" s="215">
        <f t="shared" si="44"/>
      </c>
      <c r="AM44" s="32">
        <f t="shared" si="45"/>
        <v>0</v>
      </c>
      <c r="AN44" s="215">
        <f t="shared" si="46"/>
        <v>0</v>
      </c>
      <c r="AO44" s="43"/>
    </row>
    <row r="45" spans="3:41" ht="12">
      <c r="C45" s="238"/>
      <c r="D45" s="244"/>
      <c r="E45" s="174"/>
      <c r="F45" s="177"/>
      <c r="G45" s="33"/>
      <c r="H45" s="33"/>
      <c r="I45" s="208"/>
      <c r="J45" s="34"/>
      <c r="K45" s="208"/>
      <c r="L45" s="34"/>
      <c r="M45" s="34"/>
      <c r="N45" s="220"/>
      <c r="O45" s="223">
        <f t="shared" si="27"/>
      </c>
      <c r="P45" s="32">
        <f t="shared" si="28"/>
      </c>
      <c r="Q45" s="15">
        <f t="shared" si="29"/>
      </c>
      <c r="R45" s="32">
        <f t="shared" si="30"/>
      </c>
      <c r="S45" s="32">
        <f t="shared" si="31"/>
      </c>
      <c r="T45" s="32" t="e">
        <f t="shared" si="32"/>
        <v>#VALUE!</v>
      </c>
      <c r="U45" s="32" t="e">
        <f t="shared" si="47"/>
        <v>#VALUE!</v>
      </c>
      <c r="V45" s="32">
        <f t="shared" si="33"/>
        <v>0</v>
      </c>
      <c r="W45" s="32" t="e">
        <f t="shared" si="48"/>
        <v>#VALUE!</v>
      </c>
      <c r="X45" s="32" t="e">
        <f t="shared" si="49"/>
        <v>#VALUE!</v>
      </c>
      <c r="Y45" s="32">
        <f t="shared" si="26"/>
      </c>
      <c r="Z45" s="32">
        <f t="shared" si="34"/>
      </c>
      <c r="AA45" s="32">
        <f t="shared" si="35"/>
      </c>
      <c r="AB45" s="306">
        <f t="shared" si="50"/>
      </c>
      <c r="AC45" s="118">
        <f t="shared" si="36"/>
      </c>
      <c r="AD45" s="32">
        <f t="shared" si="37"/>
      </c>
      <c r="AE45" s="37">
        <f t="shared" si="38"/>
        <v>0</v>
      </c>
      <c r="AF45" s="37" t="e">
        <f t="shared" si="51"/>
        <v>#VALUE!</v>
      </c>
      <c r="AG45" s="37">
        <f t="shared" si="39"/>
      </c>
      <c r="AH45" s="37">
        <f t="shared" si="40"/>
      </c>
      <c r="AI45" s="32">
        <f t="shared" si="41"/>
      </c>
      <c r="AJ45" s="32">
        <f t="shared" si="42"/>
      </c>
      <c r="AK45" s="32">
        <f t="shared" si="43"/>
      </c>
      <c r="AL45" s="215">
        <f t="shared" si="44"/>
      </c>
      <c r="AM45" s="32">
        <f t="shared" si="45"/>
        <v>0</v>
      </c>
      <c r="AN45" s="215">
        <f t="shared" si="46"/>
        <v>0</v>
      </c>
      <c r="AO45" s="43"/>
    </row>
    <row r="46" spans="3:41" ht="12">
      <c r="C46" s="240"/>
      <c r="D46" s="245"/>
      <c r="E46" s="178"/>
      <c r="F46" s="179"/>
      <c r="G46" s="38"/>
      <c r="H46" s="38"/>
      <c r="I46" s="210"/>
      <c r="J46" s="39"/>
      <c r="K46" s="210"/>
      <c r="L46" s="39"/>
      <c r="M46" s="39"/>
      <c r="N46" s="221"/>
      <c r="O46" s="225">
        <f t="shared" si="27"/>
      </c>
      <c r="P46" s="35">
        <f t="shared" si="28"/>
      </c>
      <c r="Q46" s="19">
        <f t="shared" si="29"/>
      </c>
      <c r="R46" s="35">
        <f t="shared" si="30"/>
      </c>
      <c r="S46" s="35">
        <f t="shared" si="31"/>
      </c>
      <c r="T46" s="35" t="e">
        <f t="shared" si="32"/>
        <v>#VALUE!</v>
      </c>
      <c r="U46" s="35" t="e">
        <f t="shared" si="47"/>
        <v>#VALUE!</v>
      </c>
      <c r="V46" s="35">
        <f t="shared" si="33"/>
        <v>0</v>
      </c>
      <c r="W46" s="35" t="e">
        <f t="shared" si="48"/>
        <v>#VALUE!</v>
      </c>
      <c r="X46" s="35" t="e">
        <f t="shared" si="49"/>
        <v>#VALUE!</v>
      </c>
      <c r="Y46" s="35">
        <f t="shared" si="26"/>
      </c>
      <c r="Z46" s="35">
        <f t="shared" si="34"/>
      </c>
      <c r="AA46" s="35">
        <f t="shared" si="35"/>
      </c>
      <c r="AB46" s="307">
        <f t="shared" si="50"/>
      </c>
      <c r="AC46" s="119">
        <f t="shared" si="36"/>
      </c>
      <c r="AD46" s="35">
        <f t="shared" si="37"/>
      </c>
      <c r="AE46" s="36">
        <f t="shared" si="38"/>
        <v>0</v>
      </c>
      <c r="AF46" s="36" t="e">
        <f t="shared" si="51"/>
        <v>#VALUE!</v>
      </c>
      <c r="AG46" s="36">
        <f t="shared" si="39"/>
      </c>
      <c r="AH46" s="36">
        <f t="shared" si="40"/>
      </c>
      <c r="AI46" s="35">
        <f t="shared" si="41"/>
      </c>
      <c r="AJ46" s="35">
        <f t="shared" si="42"/>
      </c>
      <c r="AK46" s="35">
        <f t="shared" si="43"/>
      </c>
      <c r="AL46" s="216">
        <f t="shared" si="44"/>
      </c>
      <c r="AM46" s="35">
        <f t="shared" si="45"/>
        <v>0</v>
      </c>
      <c r="AN46" s="216">
        <f t="shared" si="46"/>
        <v>0</v>
      </c>
      <c r="AO46" s="44"/>
    </row>
    <row r="48" ht="12">
      <c r="C48" s="201" t="s">
        <v>377</v>
      </c>
    </row>
    <row r="49" ht="12">
      <c r="C49" s="201" t="s">
        <v>378</v>
      </c>
    </row>
  </sheetData>
  <sheetProtection/>
  <hyperlinks>
    <hyperlink ref="F3" r:id="rId1" display="www.boupplysningen.se"/>
    <hyperlink ref="Q2:R2" location="Låneuppgifter!A1" display="Låneuppgifter!A1"/>
    <hyperlink ref="M11" location="'Vad får jag för...'!A1" display="B6. Mitt högsta pris!"/>
    <hyperlink ref="C9" location="'Förklaringar och Vanliga frågor'!A1" display="Förklaringar till kolumnerna hittar du under fliken Förklaringar och Vanliga frågor."/>
    <hyperlink ref="F16" r:id="rId2" display="http://www.booli.se"/>
    <hyperlink ref="F17" r:id="rId3" display="http://www.hemnet.se"/>
    <hyperlink ref="F18" r:id="rId4" display="http://www.bovision.se"/>
  </hyperlinks>
  <printOptions/>
  <pageMargins left="0.75" right="0.75" top="1" bottom="1" header="0.5" footer="0.5"/>
  <pageSetup horizontalDpi="200" verticalDpi="200" orientation="portrait" paperSize="9"/>
  <drawing r:id="rId7"/>
  <legacyDrawing r:id="rId6"/>
</worksheet>
</file>

<file path=xl/worksheets/sheet3.xml><?xml version="1.0" encoding="utf-8"?>
<worksheet xmlns="http://schemas.openxmlformats.org/spreadsheetml/2006/main" xmlns:r="http://schemas.openxmlformats.org/officeDocument/2006/relationships">
  <dimension ref="B2:Q63"/>
  <sheetViews>
    <sheetView workbookViewId="0" topLeftCell="A1">
      <selection activeCell="D14" sqref="D14"/>
    </sheetView>
  </sheetViews>
  <sheetFormatPr defaultColWidth="9.140625" defaultRowHeight="12.75"/>
  <cols>
    <col min="1" max="1" width="3.8515625" style="1" customWidth="1"/>
    <col min="2" max="2" width="5.421875" style="1" customWidth="1"/>
    <col min="3" max="3" width="56.8515625" style="1" customWidth="1"/>
    <col min="4" max="4" width="14.7109375" style="1" customWidth="1"/>
    <col min="5" max="5" width="3.140625" style="1" customWidth="1"/>
    <col min="6" max="6" width="14.140625" style="1" customWidth="1"/>
    <col min="7" max="7" width="11.140625" style="1" customWidth="1"/>
    <col min="8" max="8" width="2.8515625" style="1" customWidth="1"/>
    <col min="9" max="9" width="12.421875" style="1" customWidth="1"/>
    <col min="10" max="10" width="11.7109375" style="1" customWidth="1"/>
    <col min="11" max="11" width="2.421875" style="1" customWidth="1"/>
    <col min="12" max="12" width="38.140625" style="1" customWidth="1"/>
    <col min="13" max="16384" width="9.140625" style="1" customWidth="1"/>
  </cols>
  <sheetData>
    <row r="1" ht="12.75"/>
    <row r="2" ht="23.25">
      <c r="D2" s="127" t="s">
        <v>182</v>
      </c>
    </row>
    <row r="3" ht="15" customHeight="1">
      <c r="D3" s="26" t="s">
        <v>239</v>
      </c>
    </row>
    <row r="4" spans="2:4" ht="12.75">
      <c r="B4" s="2"/>
      <c r="D4" s="246" t="s">
        <v>436</v>
      </c>
    </row>
    <row r="5" spans="2:17" ht="12.75">
      <c r="B5" s="14"/>
      <c r="C5" s="14"/>
      <c r="D5" s="14"/>
      <c r="E5" s="14"/>
      <c r="F5" s="14"/>
      <c r="G5" s="14"/>
      <c r="H5" s="14"/>
      <c r="I5" s="14"/>
      <c r="J5" s="14"/>
      <c r="K5" s="14"/>
      <c r="L5" s="25"/>
      <c r="M5" s="14"/>
      <c r="N5" s="14"/>
      <c r="O5" s="14"/>
      <c r="P5" s="14"/>
      <c r="Q5" s="14"/>
    </row>
    <row r="6" spans="2:17" ht="12.75">
      <c r="B6" s="14"/>
      <c r="C6" s="14"/>
      <c r="D6" s="14"/>
      <c r="E6" s="14"/>
      <c r="F6" s="14"/>
      <c r="G6" s="14"/>
      <c r="H6" s="14"/>
      <c r="I6" s="14"/>
      <c r="J6" s="14"/>
      <c r="K6" s="14"/>
      <c r="L6" s="25"/>
      <c r="M6" s="14"/>
      <c r="N6" s="14"/>
      <c r="O6" s="14"/>
      <c r="P6" s="14"/>
      <c r="Q6" s="14"/>
    </row>
    <row r="7" spans="2:17" ht="12.75">
      <c r="B7" s="14"/>
      <c r="C7" s="17" t="s">
        <v>177</v>
      </c>
      <c r="D7" s="269">
        <f>Inställningar!G11</f>
        <v>1462500</v>
      </c>
      <c r="E7" s="14"/>
      <c r="F7" s="270" t="s">
        <v>400</v>
      </c>
      <c r="G7" s="125"/>
      <c r="H7" s="125"/>
      <c r="I7" s="14"/>
      <c r="J7" s="14"/>
      <c r="K7" s="14"/>
      <c r="L7" s="14"/>
      <c r="M7" s="14"/>
      <c r="N7" s="14"/>
      <c r="O7" s="14"/>
      <c r="P7" s="14"/>
      <c r="Q7" s="14"/>
    </row>
    <row r="8" spans="2:17" ht="12.75">
      <c r="B8" s="14"/>
      <c r="C8" s="17" t="s">
        <v>204</v>
      </c>
      <c r="D8" s="268">
        <f>Inställningar!G28+Inställningar!G30</f>
        <v>1000000</v>
      </c>
      <c r="E8" s="14"/>
      <c r="F8" s="270" t="s">
        <v>401</v>
      </c>
      <c r="G8" s="125"/>
      <c r="H8" s="125"/>
      <c r="I8" s="14"/>
      <c r="J8" s="14"/>
      <c r="K8" s="14"/>
      <c r="L8" s="14"/>
      <c r="M8" s="14"/>
      <c r="N8" s="14"/>
      <c r="O8" s="14"/>
      <c r="P8" s="14"/>
      <c r="Q8" s="14"/>
    </row>
    <row r="9" spans="2:17" ht="12.75">
      <c r="B9" s="14"/>
      <c r="C9" s="17" t="s">
        <v>178</v>
      </c>
      <c r="D9" s="269">
        <f>Inställningar!G22</f>
        <v>50000</v>
      </c>
      <c r="E9" s="17"/>
      <c r="F9" s="17"/>
      <c r="G9" s="17"/>
      <c r="H9" s="17"/>
      <c r="I9" s="17"/>
      <c r="J9" s="17"/>
      <c r="K9" s="14"/>
      <c r="L9" s="14"/>
      <c r="M9" s="14"/>
      <c r="N9" s="14"/>
      <c r="O9" s="14"/>
      <c r="P9" s="14"/>
      <c r="Q9" s="14"/>
    </row>
    <row r="10" spans="2:17" ht="12.75">
      <c r="B10" s="14"/>
      <c r="C10" s="17" t="s">
        <v>189</v>
      </c>
      <c r="D10" s="155">
        <f>D7-D8+D9</f>
        <v>512500</v>
      </c>
      <c r="E10" s="17"/>
      <c r="F10" s="125" t="s">
        <v>230</v>
      </c>
      <c r="G10" s="125"/>
      <c r="H10" s="125"/>
      <c r="I10" s="17"/>
      <c r="J10" s="17"/>
      <c r="K10" s="14"/>
      <c r="L10" s="14"/>
      <c r="M10" s="14"/>
      <c r="N10" s="14"/>
      <c r="O10" s="14"/>
      <c r="P10" s="14"/>
      <c r="Q10" s="14"/>
    </row>
    <row r="11" spans="2:17" ht="12.75">
      <c r="B11" s="14"/>
      <c r="C11" s="14"/>
      <c r="D11" s="14"/>
      <c r="E11" s="14"/>
      <c r="F11" s="14"/>
      <c r="G11" s="14"/>
      <c r="H11" s="14"/>
      <c r="I11" s="14"/>
      <c r="J11" s="14"/>
      <c r="K11" s="14"/>
      <c r="L11" s="14"/>
      <c r="M11" s="14"/>
      <c r="N11" s="14"/>
      <c r="O11" s="14"/>
      <c r="P11" s="14"/>
      <c r="Q11" s="14"/>
    </row>
    <row r="12" spans="2:17" ht="12.75">
      <c r="B12" s="14"/>
      <c r="C12" s="17" t="s">
        <v>181</v>
      </c>
      <c r="D12" s="126">
        <v>0.06</v>
      </c>
      <c r="E12" s="14"/>
      <c r="F12" s="125" t="s">
        <v>205</v>
      </c>
      <c r="G12" s="125"/>
      <c r="H12" s="125"/>
      <c r="I12" s="14"/>
      <c r="J12" s="14"/>
      <c r="K12" s="14"/>
      <c r="L12" s="14"/>
      <c r="M12" s="14"/>
      <c r="N12" s="14"/>
      <c r="O12" s="14"/>
      <c r="P12" s="14"/>
      <c r="Q12" s="14"/>
    </row>
    <row r="13" spans="2:17" ht="12.75">
      <c r="B13" s="14"/>
      <c r="C13" s="17" t="s">
        <v>179</v>
      </c>
      <c r="D13" s="137">
        <v>15000</v>
      </c>
      <c r="E13" s="14"/>
      <c r="F13" s="125" t="s">
        <v>180</v>
      </c>
      <c r="G13" s="125"/>
      <c r="H13" s="125"/>
      <c r="I13" s="15"/>
      <c r="J13" s="15"/>
      <c r="K13" s="14"/>
      <c r="L13" s="14"/>
      <c r="M13" s="14"/>
      <c r="N13" s="14"/>
      <c r="O13" s="14"/>
      <c r="P13" s="14"/>
      <c r="Q13" s="14"/>
    </row>
    <row r="14" spans="2:17" ht="12.75">
      <c r="B14" s="125" t="s">
        <v>188</v>
      </c>
      <c r="C14" s="17" t="s">
        <v>183</v>
      </c>
      <c r="D14" s="131">
        <v>10000</v>
      </c>
      <c r="E14" s="14"/>
      <c r="F14" s="125" t="s">
        <v>208</v>
      </c>
      <c r="G14" s="125"/>
      <c r="H14" s="125"/>
      <c r="I14" s="14"/>
      <c r="J14" s="14"/>
      <c r="K14" s="14"/>
      <c r="L14" s="14"/>
      <c r="M14" s="14"/>
      <c r="N14" s="14"/>
      <c r="O14" s="14"/>
      <c r="P14" s="14"/>
      <c r="Q14" s="14"/>
    </row>
    <row r="15" spans="2:17" ht="12.75">
      <c r="B15" s="14"/>
      <c r="C15" s="14"/>
      <c r="D15" s="15"/>
      <c r="E15" s="14"/>
      <c r="F15" s="14"/>
      <c r="G15" s="14"/>
      <c r="H15" s="14"/>
      <c r="I15" s="15"/>
      <c r="J15" s="15"/>
      <c r="K15" s="14"/>
      <c r="L15" s="14"/>
      <c r="M15" s="14"/>
      <c r="N15" s="14"/>
      <c r="O15" s="14"/>
      <c r="P15" s="14"/>
      <c r="Q15" s="14"/>
    </row>
    <row r="16" spans="2:17" ht="51">
      <c r="B16" s="14"/>
      <c r="C16" s="21"/>
      <c r="D16" s="140" t="s">
        <v>413</v>
      </c>
      <c r="E16" s="130"/>
      <c r="F16" s="140" t="s">
        <v>207</v>
      </c>
      <c r="G16" s="140" t="s">
        <v>231</v>
      </c>
      <c r="H16" s="140"/>
      <c r="I16" s="140" t="s">
        <v>206</v>
      </c>
      <c r="J16" s="141" t="s">
        <v>231</v>
      </c>
      <c r="K16" s="14"/>
      <c r="L16" s="14"/>
      <c r="M16" s="14"/>
      <c r="N16" s="14"/>
      <c r="O16" s="14"/>
      <c r="P16" s="14"/>
      <c r="Q16" s="14"/>
    </row>
    <row r="17" spans="2:17" s="297" customFormat="1" ht="15">
      <c r="B17" s="290"/>
      <c r="C17" s="291" t="s">
        <v>434</v>
      </c>
      <c r="D17" s="292">
        <f>VLOOKUP("x",Prospekt!B16:AL27,8)</f>
        <v>2300</v>
      </c>
      <c r="E17" s="293"/>
      <c r="F17" s="294">
        <f>(($D$13-D17)*12/$D$12)+$D$10</f>
        <v>3052500</v>
      </c>
      <c r="G17" s="294">
        <f>F17-$D$10</f>
        <v>2540000</v>
      </c>
      <c r="H17" s="298"/>
      <c r="I17" s="295">
        <f>(($D$14-D17)*12/(0.7*$D$12))+$D$10</f>
        <v>2712500</v>
      </c>
      <c r="J17" s="296">
        <f>I17-$D$10</f>
        <v>2200000</v>
      </c>
      <c r="K17" s="290"/>
      <c r="L17" s="290"/>
      <c r="M17" s="290"/>
      <c r="N17" s="290"/>
      <c r="O17" s="290"/>
      <c r="P17" s="290"/>
      <c r="Q17" s="290"/>
    </row>
    <row r="18" spans="2:17" ht="12.75">
      <c r="B18" s="14"/>
      <c r="C18" s="51" t="s">
        <v>184</v>
      </c>
      <c r="D18" s="128">
        <v>1000</v>
      </c>
      <c r="E18" s="129"/>
      <c r="F18" s="138">
        <f>(($D$13-D18)*12/($D$12)+$D$10)</f>
        <v>3312500</v>
      </c>
      <c r="G18" s="138">
        <f aca="true" t="shared" si="0" ref="G18:G34">F18-$D$10</f>
        <v>2800000</v>
      </c>
      <c r="H18" s="299"/>
      <c r="I18" s="152">
        <f aca="true" t="shared" si="1" ref="I18:I34">(($D$14-D18)*12/(0.7*$D$12))+$D$10</f>
        <v>3083928.571428572</v>
      </c>
      <c r="J18" s="132">
        <f aca="true" t="shared" si="2" ref="J18:J34">I18-$D$10</f>
        <v>2571428.571428572</v>
      </c>
      <c r="K18" s="14"/>
      <c r="L18" s="14"/>
      <c r="M18" s="14"/>
      <c r="N18" s="14"/>
      <c r="O18" s="14"/>
      <c r="P18" s="14"/>
      <c r="Q18" s="14"/>
    </row>
    <row r="19" spans="2:17" ht="12.75">
      <c r="B19" s="14"/>
      <c r="C19" s="51" t="s">
        <v>185</v>
      </c>
      <c r="D19" s="128">
        <v>1500</v>
      </c>
      <c r="E19" s="14"/>
      <c r="F19" s="138">
        <f aca="true" t="shared" si="3" ref="F19:F34">(($D$13-D19)*12/($D$12)+$D$10)</f>
        <v>3212500</v>
      </c>
      <c r="G19" s="138">
        <f t="shared" si="0"/>
        <v>2700000</v>
      </c>
      <c r="H19" s="299"/>
      <c r="I19" s="152">
        <f t="shared" si="1"/>
        <v>2941071.4285714286</v>
      </c>
      <c r="J19" s="132">
        <f t="shared" si="2"/>
        <v>2428571.4285714286</v>
      </c>
      <c r="K19" s="14"/>
      <c r="L19" s="14"/>
      <c r="M19" s="14"/>
      <c r="N19" s="14"/>
      <c r="O19" s="14"/>
      <c r="P19" s="14"/>
      <c r="Q19" s="14"/>
    </row>
    <row r="20" spans="2:17" ht="12.75">
      <c r="B20" s="14"/>
      <c r="C20" s="51" t="s">
        <v>186</v>
      </c>
      <c r="D20" s="128">
        <v>2000</v>
      </c>
      <c r="E20" s="14"/>
      <c r="F20" s="138">
        <f t="shared" si="3"/>
        <v>3112500</v>
      </c>
      <c r="G20" s="138">
        <f t="shared" si="0"/>
        <v>2600000</v>
      </c>
      <c r="H20" s="299"/>
      <c r="I20" s="152">
        <f t="shared" si="1"/>
        <v>2798214.285714286</v>
      </c>
      <c r="J20" s="132">
        <f t="shared" si="2"/>
        <v>2285714.285714286</v>
      </c>
      <c r="K20" s="14"/>
      <c r="L20" s="14"/>
      <c r="M20" s="14"/>
      <c r="N20" s="14"/>
      <c r="O20" s="14"/>
      <c r="P20" s="14"/>
      <c r="Q20" s="14"/>
    </row>
    <row r="21" spans="2:17" ht="12.75">
      <c r="B21" s="14"/>
      <c r="C21" s="51" t="s">
        <v>190</v>
      </c>
      <c r="D21" s="128">
        <v>2500</v>
      </c>
      <c r="E21" s="14"/>
      <c r="F21" s="138">
        <f t="shared" si="3"/>
        <v>3012500</v>
      </c>
      <c r="G21" s="138">
        <f t="shared" si="0"/>
        <v>2500000</v>
      </c>
      <c r="H21" s="299"/>
      <c r="I21" s="152">
        <f t="shared" si="1"/>
        <v>2655357.142857143</v>
      </c>
      <c r="J21" s="132">
        <f t="shared" si="2"/>
        <v>2142857.142857143</v>
      </c>
      <c r="K21" s="14"/>
      <c r="L21" s="14"/>
      <c r="M21" s="14"/>
      <c r="N21" s="14"/>
      <c r="O21" s="14"/>
      <c r="P21" s="14"/>
      <c r="Q21" s="14"/>
    </row>
    <row r="22" spans="2:17" ht="12.75">
      <c r="B22" s="14"/>
      <c r="C22" s="51" t="s">
        <v>191</v>
      </c>
      <c r="D22" s="128">
        <v>3000</v>
      </c>
      <c r="E22" s="129"/>
      <c r="F22" s="138">
        <f t="shared" si="3"/>
        <v>2912500</v>
      </c>
      <c r="G22" s="138">
        <f t="shared" si="0"/>
        <v>2400000</v>
      </c>
      <c r="H22" s="299"/>
      <c r="I22" s="152">
        <f t="shared" si="1"/>
        <v>2512500</v>
      </c>
      <c r="J22" s="132">
        <f t="shared" si="2"/>
        <v>2000000</v>
      </c>
      <c r="K22" s="14"/>
      <c r="L22" s="14"/>
      <c r="M22" s="14"/>
      <c r="N22" s="14"/>
      <c r="O22" s="14"/>
      <c r="P22" s="14"/>
      <c r="Q22" s="14"/>
    </row>
    <row r="23" spans="2:17" ht="12.75">
      <c r="B23" s="14"/>
      <c r="C23" s="51" t="s">
        <v>192</v>
      </c>
      <c r="D23" s="128">
        <v>3500</v>
      </c>
      <c r="E23" s="14"/>
      <c r="F23" s="138">
        <f t="shared" si="3"/>
        <v>2812500</v>
      </c>
      <c r="G23" s="138">
        <f t="shared" si="0"/>
        <v>2300000</v>
      </c>
      <c r="H23" s="299"/>
      <c r="I23" s="152">
        <f t="shared" si="1"/>
        <v>2369642.8571428573</v>
      </c>
      <c r="J23" s="132">
        <f t="shared" si="2"/>
        <v>1857142.8571428573</v>
      </c>
      <c r="K23" s="14"/>
      <c r="L23" s="14"/>
      <c r="M23" s="14"/>
      <c r="N23" s="14"/>
      <c r="O23" s="14"/>
      <c r="P23" s="14"/>
      <c r="Q23" s="14"/>
    </row>
    <row r="24" spans="2:17" ht="12">
      <c r="B24" s="14"/>
      <c r="C24" s="51" t="s">
        <v>193</v>
      </c>
      <c r="D24" s="128">
        <v>4000</v>
      </c>
      <c r="E24" s="14"/>
      <c r="F24" s="138">
        <f t="shared" si="3"/>
        <v>2712500</v>
      </c>
      <c r="G24" s="138">
        <f t="shared" si="0"/>
        <v>2200000</v>
      </c>
      <c r="H24" s="299"/>
      <c r="I24" s="152">
        <f t="shared" si="1"/>
        <v>2226785.7142857146</v>
      </c>
      <c r="J24" s="132">
        <f t="shared" si="2"/>
        <v>1714285.7142857146</v>
      </c>
      <c r="K24" s="14"/>
      <c r="L24" s="14"/>
      <c r="M24" s="14"/>
      <c r="N24" s="14"/>
      <c r="O24" s="14"/>
      <c r="P24" s="14"/>
      <c r="Q24" s="14"/>
    </row>
    <row r="25" spans="2:17" ht="12">
      <c r="B25" s="14"/>
      <c r="C25" s="51" t="s">
        <v>194</v>
      </c>
      <c r="D25" s="128">
        <v>4500</v>
      </c>
      <c r="E25" s="14"/>
      <c r="F25" s="138">
        <f t="shared" si="3"/>
        <v>2612500</v>
      </c>
      <c r="G25" s="138">
        <f t="shared" si="0"/>
        <v>2100000</v>
      </c>
      <c r="H25" s="299"/>
      <c r="I25" s="152">
        <f t="shared" si="1"/>
        <v>2083928.5714285716</v>
      </c>
      <c r="J25" s="132">
        <f t="shared" si="2"/>
        <v>1571428.5714285716</v>
      </c>
      <c r="K25" s="14"/>
      <c r="L25" s="14"/>
      <c r="M25" s="14"/>
      <c r="N25" s="14"/>
      <c r="O25" s="14"/>
      <c r="P25" s="14"/>
      <c r="Q25" s="14"/>
    </row>
    <row r="26" spans="2:17" ht="12">
      <c r="B26" s="14"/>
      <c r="C26" s="51" t="s">
        <v>195</v>
      </c>
      <c r="D26" s="128">
        <v>5000</v>
      </c>
      <c r="E26" s="129"/>
      <c r="F26" s="138">
        <f t="shared" si="3"/>
        <v>2512500</v>
      </c>
      <c r="G26" s="138">
        <f t="shared" si="0"/>
        <v>2000000</v>
      </c>
      <c r="H26" s="299"/>
      <c r="I26" s="152">
        <f t="shared" si="1"/>
        <v>1941071.4285714286</v>
      </c>
      <c r="J26" s="132">
        <f t="shared" si="2"/>
        <v>1428571.4285714286</v>
      </c>
      <c r="K26" s="14"/>
      <c r="L26" s="14"/>
      <c r="M26" s="14"/>
      <c r="N26" s="14"/>
      <c r="O26" s="14"/>
      <c r="P26" s="14"/>
      <c r="Q26" s="14"/>
    </row>
    <row r="27" spans="2:17" ht="12">
      <c r="B27" s="14"/>
      <c r="C27" s="51" t="s">
        <v>196</v>
      </c>
      <c r="D27" s="128">
        <v>5500</v>
      </c>
      <c r="E27" s="14"/>
      <c r="F27" s="138">
        <f t="shared" si="3"/>
        <v>2412500</v>
      </c>
      <c r="G27" s="138">
        <f t="shared" si="0"/>
        <v>1900000</v>
      </c>
      <c r="H27" s="299"/>
      <c r="I27" s="152">
        <f t="shared" si="1"/>
        <v>1798214.285714286</v>
      </c>
      <c r="J27" s="132">
        <f t="shared" si="2"/>
        <v>1285714.285714286</v>
      </c>
      <c r="K27" s="14"/>
      <c r="L27" s="14"/>
      <c r="M27" s="14"/>
      <c r="N27" s="14"/>
      <c r="O27" s="14"/>
      <c r="P27" s="14"/>
      <c r="Q27" s="14"/>
    </row>
    <row r="28" spans="2:17" ht="12">
      <c r="B28" s="14"/>
      <c r="C28" s="51" t="s">
        <v>197</v>
      </c>
      <c r="D28" s="128">
        <v>6000</v>
      </c>
      <c r="E28" s="14"/>
      <c r="F28" s="138">
        <f t="shared" si="3"/>
        <v>2312500</v>
      </c>
      <c r="G28" s="138">
        <f t="shared" si="0"/>
        <v>1800000</v>
      </c>
      <c r="H28" s="299"/>
      <c r="I28" s="152">
        <f t="shared" si="1"/>
        <v>1655357.142857143</v>
      </c>
      <c r="J28" s="132">
        <f t="shared" si="2"/>
        <v>1142857.142857143</v>
      </c>
      <c r="K28" s="14"/>
      <c r="L28" s="14"/>
      <c r="M28" s="14"/>
      <c r="N28" s="14"/>
      <c r="O28" s="14"/>
      <c r="P28" s="14"/>
      <c r="Q28" s="14"/>
    </row>
    <row r="29" spans="2:17" ht="12">
      <c r="B29" s="14"/>
      <c r="C29" s="51" t="s">
        <v>198</v>
      </c>
      <c r="D29" s="128">
        <v>6500</v>
      </c>
      <c r="E29" s="14"/>
      <c r="F29" s="138">
        <f t="shared" si="3"/>
        <v>2212500</v>
      </c>
      <c r="G29" s="138">
        <f t="shared" si="0"/>
        <v>1700000</v>
      </c>
      <c r="H29" s="299"/>
      <c r="I29" s="152">
        <f t="shared" si="1"/>
        <v>1512500</v>
      </c>
      <c r="J29" s="132">
        <f t="shared" si="2"/>
        <v>1000000</v>
      </c>
      <c r="K29" s="14"/>
      <c r="L29" s="14"/>
      <c r="M29" s="14"/>
      <c r="N29" s="14"/>
      <c r="O29" s="14"/>
      <c r="P29" s="14"/>
      <c r="Q29" s="14"/>
    </row>
    <row r="30" spans="2:17" ht="12">
      <c r="B30" s="14"/>
      <c r="C30" s="51" t="s">
        <v>199</v>
      </c>
      <c r="D30" s="128">
        <v>7000</v>
      </c>
      <c r="E30" s="129"/>
      <c r="F30" s="138">
        <f t="shared" si="3"/>
        <v>2112500</v>
      </c>
      <c r="G30" s="138">
        <f t="shared" si="0"/>
        <v>1600000</v>
      </c>
      <c r="H30" s="299"/>
      <c r="I30" s="152">
        <f t="shared" si="1"/>
        <v>1369642.8571428573</v>
      </c>
      <c r="J30" s="132">
        <f t="shared" si="2"/>
        <v>857142.8571428573</v>
      </c>
      <c r="K30" s="14"/>
      <c r="L30" s="14"/>
      <c r="M30" s="14"/>
      <c r="N30" s="14"/>
      <c r="O30" s="14"/>
      <c r="P30" s="14"/>
      <c r="Q30" s="14"/>
    </row>
    <row r="31" spans="2:17" ht="12">
      <c r="B31" s="14"/>
      <c r="C31" s="51" t="s">
        <v>200</v>
      </c>
      <c r="D31" s="128">
        <v>7500</v>
      </c>
      <c r="E31" s="14"/>
      <c r="F31" s="138">
        <f t="shared" si="3"/>
        <v>2012500</v>
      </c>
      <c r="G31" s="138">
        <f t="shared" si="0"/>
        <v>1500000</v>
      </c>
      <c r="H31" s="299"/>
      <c r="I31" s="152">
        <f t="shared" si="1"/>
        <v>1226785.7142857143</v>
      </c>
      <c r="J31" s="132">
        <f t="shared" si="2"/>
        <v>714285.7142857143</v>
      </c>
      <c r="K31" s="14"/>
      <c r="L31" s="14"/>
      <c r="M31" s="14"/>
      <c r="N31" s="14"/>
      <c r="O31" s="14"/>
      <c r="P31" s="14"/>
      <c r="Q31" s="14"/>
    </row>
    <row r="32" spans="2:17" ht="12">
      <c r="B32" s="14"/>
      <c r="C32" s="51" t="s">
        <v>201</v>
      </c>
      <c r="D32" s="128">
        <v>8000</v>
      </c>
      <c r="E32" s="14"/>
      <c r="F32" s="138">
        <f t="shared" si="3"/>
        <v>1912500</v>
      </c>
      <c r="G32" s="138">
        <f t="shared" si="0"/>
        <v>1400000</v>
      </c>
      <c r="H32" s="299"/>
      <c r="I32" s="152">
        <f t="shared" si="1"/>
        <v>1083928.5714285714</v>
      </c>
      <c r="J32" s="132">
        <f t="shared" si="2"/>
        <v>571428.5714285714</v>
      </c>
      <c r="K32" s="14"/>
      <c r="L32" s="14"/>
      <c r="M32" s="14"/>
      <c r="N32" s="14"/>
      <c r="O32" s="14"/>
      <c r="P32" s="14"/>
      <c r="Q32" s="14"/>
    </row>
    <row r="33" spans="2:17" ht="12">
      <c r="B33" s="14"/>
      <c r="C33" s="51" t="s">
        <v>202</v>
      </c>
      <c r="D33" s="128">
        <v>8500</v>
      </c>
      <c r="E33" s="14"/>
      <c r="F33" s="138">
        <f t="shared" si="3"/>
        <v>1812500</v>
      </c>
      <c r="G33" s="138">
        <f t="shared" si="0"/>
        <v>1300000</v>
      </c>
      <c r="H33" s="299"/>
      <c r="I33" s="152">
        <f t="shared" si="1"/>
        <v>941071.4285714286</v>
      </c>
      <c r="J33" s="132">
        <f t="shared" si="2"/>
        <v>428571.42857142864</v>
      </c>
      <c r="K33" s="14"/>
      <c r="L33" s="14"/>
      <c r="M33" s="14"/>
      <c r="N33" s="14"/>
      <c r="O33" s="14"/>
      <c r="P33" s="14"/>
      <c r="Q33" s="14"/>
    </row>
    <row r="34" spans="2:17" ht="12">
      <c r="B34" s="14"/>
      <c r="C34" s="54" t="s">
        <v>203</v>
      </c>
      <c r="D34" s="134">
        <v>9000</v>
      </c>
      <c r="E34" s="133"/>
      <c r="F34" s="139">
        <f t="shared" si="3"/>
        <v>1712500</v>
      </c>
      <c r="G34" s="139">
        <f t="shared" si="0"/>
        <v>1200000</v>
      </c>
      <c r="H34" s="300"/>
      <c r="I34" s="153">
        <f t="shared" si="1"/>
        <v>798214.2857142857</v>
      </c>
      <c r="J34" s="135">
        <f t="shared" si="2"/>
        <v>285714.2857142857</v>
      </c>
      <c r="K34" s="14"/>
      <c r="L34" s="14"/>
      <c r="M34" s="14"/>
      <c r="N34" s="14"/>
      <c r="O34" s="14"/>
      <c r="P34" s="14"/>
      <c r="Q34" s="14"/>
    </row>
    <row r="35" spans="2:17" ht="12">
      <c r="B35" s="14"/>
      <c r="C35" s="14"/>
      <c r="D35" s="14"/>
      <c r="E35" s="14"/>
      <c r="F35" s="14"/>
      <c r="G35" s="14"/>
      <c r="H35" s="14"/>
      <c r="I35" s="14"/>
      <c r="J35" s="14"/>
      <c r="K35" s="14"/>
      <c r="L35" s="14"/>
      <c r="M35" s="14"/>
      <c r="N35" s="14"/>
      <c r="O35" s="14"/>
      <c r="P35" s="14"/>
      <c r="Q35" s="14"/>
    </row>
    <row r="36" spans="2:17" ht="12">
      <c r="B36" s="14"/>
      <c r="C36" s="201" t="s">
        <v>377</v>
      </c>
      <c r="D36" s="14"/>
      <c r="E36" s="14"/>
      <c r="F36" s="14"/>
      <c r="G36" s="14"/>
      <c r="H36" s="14"/>
      <c r="I36" s="15"/>
      <c r="J36" s="15"/>
      <c r="K36" s="14"/>
      <c r="L36" s="14"/>
      <c r="M36" s="14"/>
      <c r="N36" s="14"/>
      <c r="O36" s="14"/>
      <c r="P36" s="14"/>
      <c r="Q36" s="14"/>
    </row>
    <row r="37" spans="2:17" ht="12">
      <c r="B37" s="14"/>
      <c r="C37" s="201" t="s">
        <v>378</v>
      </c>
      <c r="D37" s="14"/>
      <c r="E37" s="14"/>
      <c r="F37" s="14"/>
      <c r="G37" s="14"/>
      <c r="H37" s="14"/>
      <c r="I37" s="15"/>
      <c r="J37" s="15"/>
      <c r="K37" s="14"/>
      <c r="L37" s="14"/>
      <c r="M37" s="14"/>
      <c r="N37" s="14"/>
      <c r="O37" s="14"/>
      <c r="P37" s="14"/>
      <c r="Q37" s="14"/>
    </row>
    <row r="38" spans="2:17" ht="12">
      <c r="B38" s="14"/>
      <c r="C38" s="14"/>
      <c r="D38" s="14"/>
      <c r="E38" s="14"/>
      <c r="F38" s="14"/>
      <c r="G38" s="14"/>
      <c r="H38" s="14"/>
      <c r="I38" s="15"/>
      <c r="J38" s="15"/>
      <c r="K38" s="14"/>
      <c r="L38" s="14"/>
      <c r="M38" s="14"/>
      <c r="N38" s="14"/>
      <c r="O38" s="14"/>
      <c r="P38" s="14"/>
      <c r="Q38" s="14"/>
    </row>
    <row r="39" spans="2:17" ht="12">
      <c r="B39" s="14"/>
      <c r="C39" s="14"/>
      <c r="D39" s="14"/>
      <c r="E39" s="14"/>
      <c r="F39" s="14"/>
      <c r="G39" s="14"/>
      <c r="H39" s="14"/>
      <c r="I39" s="15"/>
      <c r="J39" s="15"/>
      <c r="K39" s="14"/>
      <c r="L39" s="14"/>
      <c r="M39" s="14"/>
      <c r="N39" s="14"/>
      <c r="O39" s="14"/>
      <c r="P39" s="14"/>
      <c r="Q39" s="14"/>
    </row>
    <row r="40" spans="2:17" ht="12">
      <c r="B40" s="14"/>
      <c r="C40" s="17"/>
      <c r="D40" s="15"/>
      <c r="E40" s="14"/>
      <c r="F40" s="17"/>
      <c r="G40" s="17"/>
      <c r="H40" s="17"/>
      <c r="I40" s="15"/>
      <c r="J40" s="15"/>
      <c r="K40" s="14"/>
      <c r="L40" s="14"/>
      <c r="M40" s="14"/>
      <c r="N40" s="14"/>
      <c r="O40" s="14"/>
      <c r="P40" s="14"/>
      <c r="Q40" s="14"/>
    </row>
    <row r="41" spans="2:17" ht="12">
      <c r="B41" s="14"/>
      <c r="C41" s="14"/>
      <c r="D41" s="14"/>
      <c r="E41" s="14"/>
      <c r="F41" s="14"/>
      <c r="G41" s="14"/>
      <c r="H41" s="14"/>
      <c r="I41" s="14"/>
      <c r="J41" s="14"/>
      <c r="K41" s="14"/>
      <c r="L41" s="14"/>
      <c r="M41" s="14"/>
      <c r="N41" s="14"/>
      <c r="O41" s="14"/>
      <c r="P41" s="14"/>
      <c r="Q41" s="14"/>
    </row>
    <row r="42" spans="2:17" ht="12">
      <c r="B42" s="14"/>
      <c r="C42" s="14"/>
      <c r="D42" s="14"/>
      <c r="E42" s="14"/>
      <c r="F42" s="14"/>
      <c r="G42" s="14"/>
      <c r="H42" s="14"/>
      <c r="I42" s="14"/>
      <c r="J42" s="14"/>
      <c r="K42" s="14"/>
      <c r="L42" s="14"/>
      <c r="M42" s="14"/>
      <c r="N42" s="14"/>
      <c r="O42" s="14"/>
      <c r="P42" s="14"/>
      <c r="Q42" s="14"/>
    </row>
    <row r="43" spans="2:17" ht="12">
      <c r="B43" s="14"/>
      <c r="C43" s="14"/>
      <c r="D43" s="14"/>
      <c r="E43" s="14"/>
      <c r="F43" s="14"/>
      <c r="G43" s="14"/>
      <c r="H43" s="14"/>
      <c r="I43" s="14"/>
      <c r="J43" s="14"/>
      <c r="K43" s="14"/>
      <c r="L43" s="14"/>
      <c r="M43" s="14"/>
      <c r="N43" s="14"/>
      <c r="O43" s="14"/>
      <c r="P43" s="14"/>
      <c r="Q43" s="14"/>
    </row>
    <row r="44" spans="2:17" ht="12">
      <c r="B44" s="14"/>
      <c r="C44" s="14"/>
      <c r="D44" s="14"/>
      <c r="E44" s="14"/>
      <c r="F44" s="14"/>
      <c r="G44" s="14"/>
      <c r="H44" s="14"/>
      <c r="I44" s="14"/>
      <c r="J44" s="14"/>
      <c r="K44" s="14"/>
      <c r="L44" s="14"/>
      <c r="M44" s="14"/>
      <c r="N44" s="14"/>
      <c r="O44" s="14"/>
      <c r="P44" s="14"/>
      <c r="Q44" s="14"/>
    </row>
    <row r="45" spans="2:17" ht="12">
      <c r="B45" s="14"/>
      <c r="C45" s="17"/>
      <c r="D45" s="122"/>
      <c r="E45" s="14"/>
      <c r="F45" s="14"/>
      <c r="G45" s="14"/>
      <c r="H45" s="14"/>
      <c r="I45" s="14"/>
      <c r="J45" s="14"/>
      <c r="K45" s="14"/>
      <c r="L45" s="14"/>
      <c r="M45" s="14"/>
      <c r="N45" s="14"/>
      <c r="O45" s="14"/>
      <c r="P45" s="14"/>
      <c r="Q45" s="14"/>
    </row>
    <row r="46" spans="2:17" ht="12">
      <c r="B46" s="14"/>
      <c r="C46" s="14"/>
      <c r="D46" s="14"/>
      <c r="E46" s="14"/>
      <c r="F46" s="14"/>
      <c r="G46" s="14"/>
      <c r="H46" s="14"/>
      <c r="I46" s="14"/>
      <c r="J46" s="14"/>
      <c r="K46" s="14"/>
      <c r="L46" s="14"/>
      <c r="M46" s="14"/>
      <c r="N46" s="14"/>
      <c r="O46" s="14"/>
      <c r="P46" s="14"/>
      <c r="Q46" s="14"/>
    </row>
    <row r="47" spans="2:17" ht="12">
      <c r="B47" s="14"/>
      <c r="C47" s="17"/>
      <c r="D47" s="122"/>
      <c r="E47" s="14"/>
      <c r="F47" s="14"/>
      <c r="G47" s="14"/>
      <c r="H47" s="14"/>
      <c r="I47" s="14"/>
      <c r="J47" s="14"/>
      <c r="K47" s="14"/>
      <c r="L47" s="14"/>
      <c r="M47" s="14"/>
      <c r="N47" s="14"/>
      <c r="O47" s="14"/>
      <c r="P47" s="14"/>
      <c r="Q47" s="14"/>
    </row>
    <row r="48" spans="2:17" ht="12">
      <c r="B48" s="14"/>
      <c r="C48" s="17"/>
      <c r="D48" s="122"/>
      <c r="E48" s="14"/>
      <c r="F48" s="14"/>
      <c r="G48" s="14"/>
      <c r="H48" s="14"/>
      <c r="I48" s="14"/>
      <c r="J48" s="14"/>
      <c r="K48" s="14"/>
      <c r="L48" s="14"/>
      <c r="M48" s="14"/>
      <c r="N48" s="14"/>
      <c r="O48" s="14"/>
      <c r="P48" s="14"/>
      <c r="Q48" s="14"/>
    </row>
    <row r="49" spans="2:17" ht="12">
      <c r="B49" s="14"/>
      <c r="C49" s="123"/>
      <c r="D49" s="124"/>
      <c r="E49" s="14"/>
      <c r="F49" s="14"/>
      <c r="G49" s="14"/>
      <c r="H49" s="14"/>
      <c r="I49" s="14"/>
      <c r="J49" s="14"/>
      <c r="K49" s="14"/>
      <c r="L49" s="14"/>
      <c r="M49" s="14"/>
      <c r="N49" s="14"/>
      <c r="O49" s="14"/>
      <c r="P49" s="14"/>
      <c r="Q49" s="14"/>
    </row>
    <row r="50" spans="2:17" ht="12">
      <c r="B50" s="14"/>
      <c r="C50" s="123"/>
      <c r="D50" s="124"/>
      <c r="E50" s="14"/>
      <c r="F50" s="14"/>
      <c r="G50" s="14"/>
      <c r="H50" s="14"/>
      <c r="I50" s="14"/>
      <c r="J50" s="14"/>
      <c r="K50" s="14"/>
      <c r="L50" s="14"/>
      <c r="M50" s="14"/>
      <c r="N50" s="14"/>
      <c r="O50" s="14"/>
      <c r="P50" s="14"/>
      <c r="Q50" s="14"/>
    </row>
    <row r="51" spans="2:17" ht="12">
      <c r="B51" s="14"/>
      <c r="C51" s="14"/>
      <c r="D51" s="14"/>
      <c r="E51" s="14"/>
      <c r="F51" s="14"/>
      <c r="G51" s="14"/>
      <c r="H51" s="14"/>
      <c r="I51" s="14"/>
      <c r="J51" s="14"/>
      <c r="K51" s="14"/>
      <c r="L51" s="14"/>
      <c r="M51" s="14"/>
      <c r="N51" s="14"/>
      <c r="O51" s="14"/>
      <c r="P51" s="14"/>
      <c r="Q51" s="14"/>
    </row>
    <row r="52" spans="2:17" ht="12">
      <c r="B52" s="14"/>
      <c r="C52" s="14"/>
      <c r="D52" s="14"/>
      <c r="E52" s="14"/>
      <c r="F52" s="14"/>
      <c r="G52" s="14"/>
      <c r="H52" s="14"/>
      <c r="I52" s="14"/>
      <c r="J52" s="14"/>
      <c r="K52" s="14"/>
      <c r="L52" s="14"/>
      <c r="M52" s="14"/>
      <c r="N52" s="14"/>
      <c r="O52" s="14"/>
      <c r="P52" s="14"/>
      <c r="Q52" s="14"/>
    </row>
    <row r="53" spans="2:17" ht="12">
      <c r="B53" s="14"/>
      <c r="C53" s="14"/>
      <c r="D53" s="14"/>
      <c r="E53" s="14"/>
      <c r="F53" s="14"/>
      <c r="G53" s="14"/>
      <c r="H53" s="14"/>
      <c r="I53" s="14"/>
      <c r="J53" s="14"/>
      <c r="K53" s="14"/>
      <c r="L53" s="14"/>
      <c r="M53" s="14"/>
      <c r="N53" s="14"/>
      <c r="O53" s="14"/>
      <c r="P53" s="14"/>
      <c r="Q53" s="14"/>
    </row>
    <row r="54" spans="2:17" ht="12">
      <c r="B54" s="14"/>
      <c r="C54" s="14"/>
      <c r="D54" s="14"/>
      <c r="E54" s="14"/>
      <c r="F54" s="14"/>
      <c r="G54" s="14"/>
      <c r="H54" s="14"/>
      <c r="I54" s="14"/>
      <c r="J54" s="14"/>
      <c r="K54" s="14"/>
      <c r="L54" s="14"/>
      <c r="M54" s="14"/>
      <c r="N54" s="14"/>
      <c r="O54" s="14"/>
      <c r="P54" s="14"/>
      <c r="Q54" s="14"/>
    </row>
    <row r="55" spans="2:17" ht="12">
      <c r="B55" s="14"/>
      <c r="C55" s="14"/>
      <c r="D55" s="14"/>
      <c r="E55" s="14"/>
      <c r="F55" s="14"/>
      <c r="G55" s="14"/>
      <c r="H55" s="14"/>
      <c r="I55" s="14"/>
      <c r="J55" s="14"/>
      <c r="K55" s="14"/>
      <c r="L55" s="14"/>
      <c r="M55" s="14"/>
      <c r="N55" s="14"/>
      <c r="O55" s="14"/>
      <c r="P55" s="14"/>
      <c r="Q55" s="14"/>
    </row>
    <row r="56" spans="2:17" ht="12">
      <c r="B56" s="14"/>
      <c r="C56" s="14"/>
      <c r="D56" s="14"/>
      <c r="E56" s="14"/>
      <c r="F56" s="14"/>
      <c r="G56" s="14"/>
      <c r="H56" s="14"/>
      <c r="I56" s="14"/>
      <c r="J56" s="14"/>
      <c r="K56" s="14"/>
      <c r="L56" s="14"/>
      <c r="M56" s="14"/>
      <c r="N56" s="14"/>
      <c r="O56" s="14"/>
      <c r="P56" s="14"/>
      <c r="Q56" s="14"/>
    </row>
    <row r="57" spans="2:17" ht="12">
      <c r="B57" s="14"/>
      <c r="C57" s="14"/>
      <c r="D57" s="14"/>
      <c r="E57" s="14"/>
      <c r="F57" s="14"/>
      <c r="G57" s="14"/>
      <c r="H57" s="14"/>
      <c r="I57" s="14"/>
      <c r="J57" s="14"/>
      <c r="K57" s="14"/>
      <c r="L57" s="14"/>
      <c r="M57" s="14"/>
      <c r="N57" s="14"/>
      <c r="O57" s="14"/>
      <c r="P57" s="14"/>
      <c r="Q57" s="14"/>
    </row>
    <row r="58" spans="2:17" ht="12">
      <c r="B58" s="14"/>
      <c r="C58" s="14"/>
      <c r="D58" s="14"/>
      <c r="E58" s="14"/>
      <c r="F58" s="14"/>
      <c r="G58" s="14"/>
      <c r="H58" s="14"/>
      <c r="I58" s="14"/>
      <c r="J58" s="14"/>
      <c r="K58" s="14"/>
      <c r="L58" s="14"/>
      <c r="M58" s="14"/>
      <c r="N58" s="14"/>
      <c r="O58" s="14"/>
      <c r="P58" s="14"/>
      <c r="Q58" s="14"/>
    </row>
    <row r="59" spans="2:17" ht="12">
      <c r="B59" s="14"/>
      <c r="C59" s="14"/>
      <c r="D59" s="14"/>
      <c r="E59" s="14"/>
      <c r="F59" s="14"/>
      <c r="G59" s="14"/>
      <c r="H59" s="14"/>
      <c r="I59" s="14"/>
      <c r="J59" s="14"/>
      <c r="K59" s="14"/>
      <c r="L59" s="14"/>
      <c r="M59" s="14"/>
      <c r="N59" s="14"/>
      <c r="O59" s="14"/>
      <c r="P59" s="14"/>
      <c r="Q59" s="14"/>
    </row>
    <row r="60" spans="2:17" ht="12">
      <c r="B60" s="14"/>
      <c r="C60" s="14"/>
      <c r="D60" s="14"/>
      <c r="E60" s="14"/>
      <c r="F60" s="14"/>
      <c r="G60" s="14"/>
      <c r="H60" s="14"/>
      <c r="I60" s="14"/>
      <c r="J60" s="14"/>
      <c r="K60" s="14"/>
      <c r="L60" s="14"/>
      <c r="M60" s="14"/>
      <c r="N60" s="14"/>
      <c r="O60" s="14"/>
      <c r="P60" s="14"/>
      <c r="Q60" s="14"/>
    </row>
    <row r="61" spans="2:17" ht="12">
      <c r="B61" s="14"/>
      <c r="C61" s="14"/>
      <c r="D61" s="14"/>
      <c r="E61" s="14"/>
      <c r="F61" s="14"/>
      <c r="G61" s="14"/>
      <c r="H61" s="14"/>
      <c r="I61" s="14"/>
      <c r="J61" s="14"/>
      <c r="K61" s="14"/>
      <c r="L61" s="14"/>
      <c r="M61" s="14"/>
      <c r="N61" s="14"/>
      <c r="O61" s="14"/>
      <c r="P61" s="14"/>
      <c r="Q61" s="14"/>
    </row>
    <row r="62" spans="2:17" ht="12">
      <c r="B62" s="14"/>
      <c r="C62" s="14"/>
      <c r="D62" s="14"/>
      <c r="E62" s="14"/>
      <c r="F62" s="14"/>
      <c r="G62" s="14"/>
      <c r="H62" s="14"/>
      <c r="I62" s="14"/>
      <c r="J62" s="14"/>
      <c r="K62" s="14"/>
      <c r="L62" s="14"/>
      <c r="M62" s="14"/>
      <c r="N62" s="14"/>
      <c r="O62" s="14"/>
      <c r="P62" s="14"/>
      <c r="Q62" s="14"/>
    </row>
    <row r="63" spans="2:17" ht="12">
      <c r="B63" s="14"/>
      <c r="C63" s="14"/>
      <c r="D63" s="14"/>
      <c r="E63" s="14"/>
      <c r="F63" s="14"/>
      <c r="G63" s="14"/>
      <c r="H63" s="14"/>
      <c r="I63" s="14"/>
      <c r="J63" s="14"/>
      <c r="K63" s="14"/>
      <c r="L63" s="14"/>
      <c r="M63" s="14"/>
      <c r="N63" s="14"/>
      <c r="O63" s="14"/>
      <c r="P63" s="14"/>
      <c r="Q63" s="14"/>
    </row>
  </sheetData>
  <sheetProtection/>
  <printOptions/>
  <pageMargins left="0.7" right="0.7" top="0.75" bottom="0.75" header="0.3" footer="0.3"/>
  <pageSetup horizontalDpi="600" verticalDpi="600"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B3:J35"/>
  <sheetViews>
    <sheetView workbookViewId="0" topLeftCell="A1">
      <selection activeCell="J32" sqref="J32"/>
    </sheetView>
  </sheetViews>
  <sheetFormatPr defaultColWidth="9.140625" defaultRowHeight="12.75"/>
  <cols>
    <col min="1" max="1" width="3.8515625" style="1" customWidth="1"/>
    <col min="2" max="2" width="9.140625" style="1" customWidth="1"/>
    <col min="3" max="3" width="30.28125" style="1" customWidth="1"/>
    <col min="4" max="4" width="14.00390625" style="1" customWidth="1"/>
    <col min="5" max="5" width="9.140625" style="1" customWidth="1"/>
    <col min="6" max="6" width="2.00390625" style="1" customWidth="1"/>
    <col min="7" max="7" width="27.8515625" style="1" customWidth="1"/>
    <col min="8" max="8" width="9.140625" style="1" customWidth="1"/>
    <col min="9" max="9" width="3.7109375" style="1" customWidth="1"/>
    <col min="10" max="10" width="38.140625" style="1" customWidth="1"/>
    <col min="11" max="16384" width="9.140625" style="1" customWidth="1"/>
  </cols>
  <sheetData>
    <row r="2" ht="12.75"/>
    <row r="3" spans="4:7" ht="15" customHeight="1">
      <c r="D3" s="324" t="s">
        <v>452</v>
      </c>
      <c r="E3" s="326" t="s">
        <v>453</v>
      </c>
      <c r="F3" s="277"/>
      <c r="G3" s="1" t="s">
        <v>454</v>
      </c>
    </row>
    <row r="4" spans="2:6" ht="12.75">
      <c r="B4" s="2"/>
      <c r="D4" s="325"/>
      <c r="E4" s="277"/>
      <c r="F4" s="277"/>
    </row>
    <row r="5" ht="89.25">
      <c r="J5" s="24" t="s">
        <v>17</v>
      </c>
    </row>
    <row r="6" spans="3:10" ht="12">
      <c r="C6" s="26" t="s">
        <v>240</v>
      </c>
      <c r="J6" s="25"/>
    </row>
    <row r="8" spans="4:8" ht="12">
      <c r="D8" s="3" t="s">
        <v>10</v>
      </c>
      <c r="E8" s="3"/>
      <c r="F8" s="3"/>
      <c r="G8" s="3"/>
      <c r="H8" s="3" t="s">
        <v>286</v>
      </c>
    </row>
    <row r="10" spans="3:10" ht="12">
      <c r="C10" s="1" t="s">
        <v>63</v>
      </c>
      <c r="D10" s="9">
        <v>25000</v>
      </c>
      <c r="G10" s="1" t="s">
        <v>175</v>
      </c>
      <c r="H10" s="6">
        <f>IF(E3="J",VLOOKUP("x",Prospekt!B16:AO27,16),VLOOKUP("x",Prospekt!B16:AO27,15))</f>
        <v>5942.1875</v>
      </c>
      <c r="J10" s="1">
        <f>IF(E3="J",Observera att lånekostnaden tar hänsyn till skatteavdraget man får göra.,"")</f>
      </c>
    </row>
    <row r="11" spans="3:10" ht="12">
      <c r="C11" s="1" t="s">
        <v>64</v>
      </c>
      <c r="D11" s="8">
        <v>30.32</v>
      </c>
      <c r="J11" s="246">
        <f>IF(E3="J","Pengar ut från kontot blir större än detta!","")</f>
      </c>
    </row>
    <row r="12" spans="3:8" ht="12">
      <c r="C12" s="1" t="s">
        <v>65</v>
      </c>
      <c r="D12" s="6">
        <f>D10*(100-D11)/100</f>
        <v>17420.000000000004</v>
      </c>
      <c r="G12" s="1" t="s">
        <v>67</v>
      </c>
      <c r="H12" s="9">
        <v>0</v>
      </c>
    </row>
    <row r="13" ht="12">
      <c r="H13" s="6"/>
    </row>
    <row r="14" spans="3:8" ht="12">
      <c r="C14" s="1" t="s">
        <v>437</v>
      </c>
      <c r="D14" s="9">
        <v>15000</v>
      </c>
      <c r="G14" s="1" t="s">
        <v>68</v>
      </c>
      <c r="H14" s="9">
        <v>0</v>
      </c>
    </row>
    <row r="15" spans="3:8" ht="12">
      <c r="C15" s="1" t="s">
        <v>439</v>
      </c>
      <c r="D15" s="8">
        <v>30.32</v>
      </c>
      <c r="H15" s="6"/>
    </row>
    <row r="16" spans="3:8" ht="12">
      <c r="C16" s="1" t="s">
        <v>440</v>
      </c>
      <c r="D16" s="6">
        <f>D14*(100-D15)/100</f>
        <v>10452.000000000002</v>
      </c>
      <c r="G16" s="1" t="s">
        <v>95</v>
      </c>
      <c r="H16" s="8">
        <v>0</v>
      </c>
    </row>
    <row r="18" spans="3:8" ht="12">
      <c r="C18" s="1" t="s">
        <v>438</v>
      </c>
      <c r="D18" s="6">
        <f>D16+D12</f>
        <v>27872.000000000007</v>
      </c>
      <c r="G18" s="1" t="s">
        <v>170</v>
      </c>
      <c r="H18" s="9">
        <v>0</v>
      </c>
    </row>
    <row r="19" ht="12">
      <c r="H19" s="6"/>
    </row>
    <row r="20" spans="3:8" ht="12">
      <c r="C20" s="1" t="s">
        <v>66</v>
      </c>
      <c r="D20" s="9">
        <v>0</v>
      </c>
      <c r="G20" s="1" t="s">
        <v>96</v>
      </c>
      <c r="H20" s="9">
        <v>0</v>
      </c>
    </row>
    <row r="21" spans="3:8" ht="12">
      <c r="C21" s="18"/>
      <c r="D21" s="18"/>
      <c r="E21" s="18"/>
      <c r="F21" s="18"/>
      <c r="G21" s="18"/>
      <c r="H21" s="19"/>
    </row>
    <row r="22" spans="3:8" ht="12">
      <c r="C22" s="17" t="s">
        <v>12</v>
      </c>
      <c r="D22" s="15">
        <f>SUM(D18,D20)</f>
        <v>27872.000000000007</v>
      </c>
      <c r="E22" s="14"/>
      <c r="F22" s="14"/>
      <c r="G22" s="17" t="s">
        <v>11</v>
      </c>
      <c r="H22" s="15">
        <f>SUM(H10:H20)</f>
        <v>5942.1875</v>
      </c>
    </row>
    <row r="26" spans="3:4" ht="15">
      <c r="C26" s="29" t="s">
        <v>58</v>
      </c>
      <c r="D26" s="323">
        <f>D22-H22</f>
        <v>21929.812500000007</v>
      </c>
    </row>
    <row r="28" spans="3:7" ht="12">
      <c r="C28" s="3" t="s">
        <v>59</v>
      </c>
      <c r="D28" s="40">
        <f>(VLOOKUP("x",Prospekt!B16:AO27,36)-VLOOKUP("x",Prospekt!B16:AO27,37))*12</f>
        <v>9511.875</v>
      </c>
      <c r="G28" s="1" t="str">
        <f>IF(E3="J","Såhär mycket är ränteavdraget över ett år. Det är inte pengar du får tillbaka.","Om du tjänar tillräckligt för att göra avdrag på skatten så får du tillbaka denna summa vid deklarationen.")</f>
        <v>Om du tjänar tillräckligt för att göra avdrag på skatten så får du tillbaka denna summa vid deklarationen.</v>
      </c>
    </row>
    <row r="29" spans="3:7" ht="12">
      <c r="C29" s="3" t="s">
        <v>60</v>
      </c>
      <c r="D29" s="167">
        <f>IF(Prospekt!R8*12&gt;0,Prospekt!R8*12,"0 kr")</f>
        <v>12000</v>
      </c>
      <c r="G29" s="1" t="s">
        <v>455</v>
      </c>
    </row>
    <row r="30" spans="3:7" ht="12">
      <c r="C30" s="41" t="s">
        <v>61</v>
      </c>
      <c r="D30" s="42">
        <f>IF(E3="J",D29,D28+D29)</f>
        <v>21511.875</v>
      </c>
      <c r="G30" s="1" t="s">
        <v>456</v>
      </c>
    </row>
    <row r="31" spans="3:7" ht="12">
      <c r="C31" s="41" t="s">
        <v>62</v>
      </c>
      <c r="D31" s="42">
        <f>D30/12</f>
        <v>1792.65625</v>
      </c>
      <c r="G31" s="1" t="s">
        <v>457</v>
      </c>
    </row>
    <row r="34" ht="12">
      <c r="B34" s="201" t="s">
        <v>377</v>
      </c>
    </row>
    <row r="35" ht="12">
      <c r="B35" s="201" t="s">
        <v>378</v>
      </c>
    </row>
  </sheetData>
  <sheetProtection/>
  <printOptions/>
  <pageMargins left="0.75" right="0.75" top="1" bottom="1" header="0.5" footer="0.5"/>
  <pageSetup horizontalDpi="200" verticalDpi="200" orientation="portrait" paperSize="9"/>
  <drawing r:id="rId1"/>
</worksheet>
</file>

<file path=xl/worksheets/sheet5.xml><?xml version="1.0" encoding="utf-8"?>
<worksheet xmlns="http://schemas.openxmlformats.org/spreadsheetml/2006/main" xmlns:r="http://schemas.openxmlformats.org/officeDocument/2006/relationships">
  <dimension ref="B3:V48"/>
  <sheetViews>
    <sheetView workbookViewId="0" topLeftCell="A1">
      <selection activeCell="K14" sqref="K14"/>
    </sheetView>
  </sheetViews>
  <sheetFormatPr defaultColWidth="9.140625" defaultRowHeight="12.75"/>
  <cols>
    <col min="1" max="1" width="4.00390625" style="1" customWidth="1"/>
    <col min="2" max="2" width="14.28125" style="1" customWidth="1"/>
    <col min="3" max="3" width="21.421875" style="1" customWidth="1"/>
    <col min="4" max="4" width="17.7109375" style="10" customWidth="1"/>
    <col min="5" max="5" width="19.28125" style="10" customWidth="1"/>
    <col min="6" max="6" width="17.28125" style="10" customWidth="1"/>
    <col min="7" max="7" width="4.140625" style="1" customWidth="1"/>
    <col min="8" max="8" width="16.7109375" style="1" customWidth="1"/>
    <col min="9" max="9" width="10.7109375" style="1" customWidth="1"/>
    <col min="10" max="10" width="7.421875" style="1" customWidth="1"/>
    <col min="11" max="13" width="7.8515625" style="1" customWidth="1"/>
    <col min="14" max="16" width="9.140625" style="1" customWidth="1"/>
    <col min="17" max="18" width="7.140625" style="1" customWidth="1"/>
    <col min="19" max="19" width="8.7109375" style="1" customWidth="1"/>
    <col min="20" max="16384" width="9.140625" style="1" customWidth="1"/>
  </cols>
  <sheetData>
    <row r="1" ht="12.75"/>
    <row r="2" ht="12.75"/>
    <row r="3" spans="8:13" ht="15" customHeight="1">
      <c r="H3" s="3" t="s">
        <v>253</v>
      </c>
      <c r="J3" s="126"/>
      <c r="K3" s="26" t="s">
        <v>254</v>
      </c>
      <c r="L3" s="26"/>
      <c r="M3" s="26"/>
    </row>
    <row r="4" spans="2:8" ht="12.75">
      <c r="B4" s="2"/>
      <c r="H4" s="26" t="s">
        <v>255</v>
      </c>
    </row>
    <row r="5" ht="12.75">
      <c r="H5" s="26" t="s">
        <v>256</v>
      </c>
    </row>
    <row r="6" ht="12.75"/>
    <row r="7" spans="2:19" ht="12">
      <c r="B7" s="21"/>
      <c r="C7" s="13"/>
      <c r="D7" s="73"/>
      <c r="E7" s="73"/>
      <c r="F7" s="73"/>
      <c r="G7" s="13"/>
      <c r="H7" s="74" t="s">
        <v>228</v>
      </c>
      <c r="I7" s="74"/>
      <c r="J7" s="13"/>
      <c r="K7" s="13"/>
      <c r="L7" s="13"/>
      <c r="M7" s="13"/>
      <c r="N7" s="13"/>
      <c r="O7" s="13"/>
      <c r="P7" s="13"/>
      <c r="Q7" s="13"/>
      <c r="R7" s="13"/>
      <c r="S7" s="75"/>
    </row>
    <row r="8" spans="2:19" ht="12">
      <c r="B8" s="22"/>
      <c r="C8" s="14"/>
      <c r="D8" s="301" t="s">
        <v>450</v>
      </c>
      <c r="E8" s="76"/>
      <c r="F8" s="76"/>
      <c r="G8" s="14"/>
      <c r="H8" s="17" t="s">
        <v>241</v>
      </c>
      <c r="I8" s="202" t="s">
        <v>242</v>
      </c>
      <c r="J8" s="14"/>
      <c r="K8" s="14"/>
      <c r="L8" s="14"/>
      <c r="M8" s="14"/>
      <c r="N8" s="14"/>
      <c r="O8" s="14"/>
      <c r="P8" s="14"/>
      <c r="Q8" s="14"/>
      <c r="R8" s="14"/>
      <c r="S8" s="52"/>
    </row>
    <row r="9" spans="2:19" s="3" customFormat="1" ht="24">
      <c r="B9" s="77" t="s">
        <v>134</v>
      </c>
      <c r="C9" s="17" t="s">
        <v>135</v>
      </c>
      <c r="D9" s="78" t="s">
        <v>136</v>
      </c>
      <c r="E9" s="78" t="s">
        <v>137</v>
      </c>
      <c r="F9" s="79" t="s">
        <v>166</v>
      </c>
      <c r="G9" s="17"/>
      <c r="H9" s="17"/>
      <c r="I9" s="106" t="s">
        <v>164</v>
      </c>
      <c r="J9" s="103" t="s">
        <v>117</v>
      </c>
      <c r="K9" s="103" t="s">
        <v>118</v>
      </c>
      <c r="L9" s="103" t="s">
        <v>415</v>
      </c>
      <c r="M9" s="103" t="s">
        <v>416</v>
      </c>
      <c r="N9" s="103" t="s">
        <v>119</v>
      </c>
      <c r="O9" s="103" t="s">
        <v>417</v>
      </c>
      <c r="P9" s="103" t="s">
        <v>418</v>
      </c>
      <c r="Q9" s="103" t="s">
        <v>214</v>
      </c>
      <c r="R9" s="103" t="s">
        <v>419</v>
      </c>
      <c r="S9" s="107" t="s">
        <v>215</v>
      </c>
    </row>
    <row r="10" spans="2:19" ht="12">
      <c r="B10" s="136"/>
      <c r="C10" s="146" t="s">
        <v>163</v>
      </c>
      <c r="D10" s="309">
        <f>('Aktuella räntor'!N10-'Aktuella räntor'!O10)/100</f>
        <v>0</v>
      </c>
      <c r="E10" s="309">
        <f>'Aktuella räntor'!O10/100</f>
        <v>0.85</v>
      </c>
      <c r="F10" s="309">
        <f>1-D10-E10</f>
        <v>0.15000000000000002</v>
      </c>
      <c r="G10" s="14"/>
      <c r="H10" s="105">
        <v>0.045</v>
      </c>
      <c r="I10" s="148">
        <f>IF('Aktuella räntor'!C10=0,"-",'Aktuella räntor'!C10/100)</f>
        <v>0.0269</v>
      </c>
      <c r="J10" s="148">
        <f>IF('Aktuella räntor'!D10=0,"-",'Aktuella räntor'!D10/100)</f>
        <v>0.0264</v>
      </c>
      <c r="K10" s="148">
        <f>IF('Aktuella räntor'!E10=0,"-",'Aktuella räntor'!E10/100)</f>
        <v>0.027200000000000002</v>
      </c>
      <c r="L10" s="148">
        <f>IF('Aktuella räntor'!F10=0,"-",'Aktuella räntor'!F10/100)</f>
        <v>0.029900000000000003</v>
      </c>
      <c r="M10" s="148" t="str">
        <f>IF('Aktuella räntor'!G10=0,"-",'Aktuella räntor'!G10/100)</f>
        <v>-</v>
      </c>
      <c r="N10" s="148">
        <f>IF('Aktuella räntor'!H10=0,"-",'Aktuella räntor'!H10/100)</f>
        <v>0.036000000000000004</v>
      </c>
      <c r="O10" s="148" t="str">
        <f>IF('Aktuella räntor'!I10=0,"-",'Aktuella räntor'!I10/100)</f>
        <v>-</v>
      </c>
      <c r="P10" s="148" t="str">
        <f>IF('Aktuella räntor'!J10=0,"-",'Aktuella räntor'!J10/100)</f>
        <v>-</v>
      </c>
      <c r="Q10" s="148" t="str">
        <f>IF('Aktuella räntor'!K10=0,"-",'Aktuella räntor'!K10/100)</f>
        <v>-</v>
      </c>
      <c r="R10" s="148" t="str">
        <f>IF('Aktuella räntor'!L10=0,"-",'Aktuella räntor'!L10/100)</f>
        <v>-</v>
      </c>
      <c r="S10" s="313">
        <f>IF('Aktuella räntor'!M10=0,"-",'Aktuella räntor'!M10/100)</f>
        <v>0.043</v>
      </c>
    </row>
    <row r="11" spans="2:19" ht="12">
      <c r="B11" s="136"/>
      <c r="C11" s="146" t="s">
        <v>7</v>
      </c>
      <c r="D11" s="309">
        <f>('Aktuella räntor'!N11-'Aktuella räntor'!O11)/100</f>
        <v>0.1</v>
      </c>
      <c r="E11" s="309">
        <f>'Aktuella räntor'!O11/100</f>
        <v>0.75</v>
      </c>
      <c r="F11" s="309">
        <f aca="true" t="shared" si="0" ref="F11:F18">1-D11-E11</f>
        <v>0.15000000000000002</v>
      </c>
      <c r="G11" s="14"/>
      <c r="H11" s="105">
        <v>0.045</v>
      </c>
      <c r="I11" s="148">
        <f>IF('Aktuella räntor'!C11=0,"-",'Aktuella räntor'!C11/100)</f>
        <v>0.026600000000000002</v>
      </c>
      <c r="J11" s="148">
        <f>IF('Aktuella räntor'!D11=0,"-",'Aktuella räntor'!D11/100)</f>
        <v>0.0264</v>
      </c>
      <c r="K11" s="148">
        <f>IF('Aktuella räntor'!E11=0,"-",'Aktuella räntor'!E11/100)</f>
        <v>0.027200000000000002</v>
      </c>
      <c r="L11" s="148">
        <f>IF('Aktuella räntor'!F11=0,"-",'Aktuella räntor'!F11/100)</f>
        <v>0.0297</v>
      </c>
      <c r="M11" s="148" t="str">
        <f>IF('Aktuella räntor'!G11=0,"-",'Aktuella räntor'!G11/100)</f>
        <v>-</v>
      </c>
      <c r="N11" s="148">
        <f>IF('Aktuella räntor'!H11=0,"-",'Aktuella räntor'!H11/100)</f>
        <v>0.0353</v>
      </c>
      <c r="O11" s="148" t="str">
        <f>IF('Aktuella räntor'!I11=0,"-",'Aktuella räntor'!I11/100)</f>
        <v>-</v>
      </c>
      <c r="P11" s="148" t="str">
        <f>IF('Aktuella räntor'!J11=0,"-",'Aktuella räntor'!J11/100)</f>
        <v>-</v>
      </c>
      <c r="Q11" s="148">
        <f>IF('Aktuella räntor'!K11=0,"-",'Aktuella räntor'!K11/100)</f>
        <v>0.042199999999999994</v>
      </c>
      <c r="R11" s="148" t="str">
        <f>IF('Aktuella räntor'!L11=0,"-",'Aktuella räntor'!L11/100)</f>
        <v>-</v>
      </c>
      <c r="S11" s="313">
        <f>IF('Aktuella räntor'!M11=0,"-",'Aktuella räntor'!M11/100)</f>
        <v>0.042800000000000005</v>
      </c>
    </row>
    <row r="12" spans="2:19" ht="12">
      <c r="B12" s="136"/>
      <c r="C12" s="146" t="s">
        <v>162</v>
      </c>
      <c r="D12" s="309">
        <f>('Aktuella räntor'!N12-'Aktuella räntor'!O12)/100</f>
        <v>0</v>
      </c>
      <c r="E12" s="309">
        <f>'Aktuella räntor'!O12/100</f>
        <v>0.85</v>
      </c>
      <c r="F12" s="309">
        <f t="shared" si="0"/>
        <v>0.15000000000000002</v>
      </c>
      <c r="G12" s="14"/>
      <c r="H12" s="105">
        <v>0.045</v>
      </c>
      <c r="I12" s="148">
        <f>IF('Aktuella räntor'!C12=0,"-",'Aktuella räntor'!C12/100)</f>
        <v>0.026699999999999998</v>
      </c>
      <c r="J12" s="148">
        <f>IF('Aktuella räntor'!D12=0,"-",'Aktuella räntor'!D12/100)</f>
        <v>0.0265</v>
      </c>
      <c r="K12" s="148">
        <f>IF('Aktuella räntor'!E12=0,"-",'Aktuella räntor'!E12/100)</f>
        <v>0.0273</v>
      </c>
      <c r="L12" s="148">
        <f>IF('Aktuella räntor'!F12=0,"-",'Aktuella räntor'!F12/100)</f>
        <v>0.0298</v>
      </c>
      <c r="M12" s="148">
        <f>IF('Aktuella räntor'!G12=0,"-",'Aktuella räntor'!G12/100)</f>
        <v>0.032799999999999996</v>
      </c>
      <c r="N12" s="148">
        <f>IF('Aktuella räntor'!H12=0,"-",'Aktuella räntor'!H12/100)</f>
        <v>0.0354</v>
      </c>
      <c r="O12" s="148" t="str">
        <f>IF('Aktuella räntor'!I12=0,"-",'Aktuella räntor'!I12/100)</f>
        <v>-</v>
      </c>
      <c r="P12" s="148">
        <f>IF('Aktuella räntor'!J12=0,"-",'Aktuella räntor'!J12/100)</f>
        <v>0.0394</v>
      </c>
      <c r="Q12" s="148" t="str">
        <f>IF('Aktuella räntor'!K12=0,"-",'Aktuella räntor'!K12/100)</f>
        <v>-</v>
      </c>
      <c r="R12" s="148" t="str">
        <f>IF('Aktuella räntor'!L12=0,"-",'Aktuella räntor'!L12/100)</f>
        <v>-</v>
      </c>
      <c r="S12" s="313">
        <f>IF('Aktuella räntor'!M12=0,"-",'Aktuella räntor'!M12/100)</f>
        <v>0.0429</v>
      </c>
    </row>
    <row r="13" spans="2:19" ht="12">
      <c r="B13" s="80" t="s">
        <v>120</v>
      </c>
      <c r="C13" s="146" t="s">
        <v>216</v>
      </c>
      <c r="D13" s="309">
        <f>('Aktuella räntor'!N13-'Aktuella räntor'!O13)/100</f>
        <v>0</v>
      </c>
      <c r="E13" s="309">
        <f>'Aktuella räntor'!O13/100</f>
        <v>0.85</v>
      </c>
      <c r="F13" s="309">
        <f t="shared" si="0"/>
        <v>0.15000000000000002</v>
      </c>
      <c r="G13" s="14"/>
      <c r="H13" s="105">
        <v>0.045</v>
      </c>
      <c r="I13" s="148">
        <f>IF('Aktuella räntor'!C13=0,"-",'Aktuella räntor'!C13/100)</f>
        <v>0.026699999999999998</v>
      </c>
      <c r="J13" s="148">
        <f>IF('Aktuella räntor'!D13=0,"-",'Aktuella räntor'!D13/100)</f>
        <v>0.0265</v>
      </c>
      <c r="K13" s="148">
        <f>IF('Aktuella räntor'!E13=0,"-",'Aktuella räntor'!E13/100)</f>
        <v>0.0273</v>
      </c>
      <c r="L13" s="148">
        <f>IF('Aktuella räntor'!F13=0,"-",'Aktuella räntor'!F13/100)</f>
        <v>0.0298</v>
      </c>
      <c r="M13" s="148">
        <f>IF('Aktuella räntor'!G13=0,"-",'Aktuella räntor'!G13/100)</f>
        <v>0.032799999999999996</v>
      </c>
      <c r="N13" s="148">
        <f>IF('Aktuella räntor'!H13=0,"-",'Aktuella räntor'!H13/100)</f>
        <v>0.0354</v>
      </c>
      <c r="O13" s="148" t="str">
        <f>IF('Aktuella räntor'!I13=0,"-",'Aktuella räntor'!I13/100)</f>
        <v>-</v>
      </c>
      <c r="P13" s="148">
        <f>IF('Aktuella räntor'!J13=0,"-",'Aktuella räntor'!J13/100)</f>
        <v>0.0394</v>
      </c>
      <c r="Q13" s="148" t="str">
        <f>IF('Aktuella räntor'!K13=0,"-",'Aktuella räntor'!K13/100)</f>
        <v>-</v>
      </c>
      <c r="R13" s="148" t="str">
        <f>IF('Aktuella räntor'!L13=0,"-",'Aktuella räntor'!L13/100)</f>
        <v>-</v>
      </c>
      <c r="S13" s="313">
        <f>IF('Aktuella räntor'!M13=0,"-",'Aktuella räntor'!M13/100)</f>
        <v>0.0429</v>
      </c>
    </row>
    <row r="14" spans="2:19" ht="12">
      <c r="B14" s="80"/>
      <c r="C14" s="146" t="s">
        <v>8</v>
      </c>
      <c r="D14" s="309">
        <f>('Aktuella räntor'!N14-'Aktuella räntor'!O14)/100</f>
        <v>0.1</v>
      </c>
      <c r="E14" s="309">
        <f>'Aktuella räntor'!O14/100</f>
        <v>0.75</v>
      </c>
      <c r="F14" s="309">
        <f t="shared" si="0"/>
        <v>0.15000000000000002</v>
      </c>
      <c r="G14" s="14"/>
      <c r="H14" s="105">
        <v>0.045</v>
      </c>
      <c r="I14" s="148">
        <f>IF('Aktuella räntor'!C14=0,"-",'Aktuella räntor'!C14/100)</f>
        <v>0.0263</v>
      </c>
      <c r="J14" s="148">
        <f>IF('Aktuella räntor'!D14=0,"-",'Aktuella räntor'!D14/100)</f>
        <v>0.0268</v>
      </c>
      <c r="K14" s="148">
        <f>IF('Aktuella räntor'!E14=0,"-",'Aktuella räntor'!E14/100)</f>
        <v>0.0273</v>
      </c>
      <c r="L14" s="148">
        <f>IF('Aktuella räntor'!F14=0,"-",'Aktuella räntor'!F14/100)</f>
        <v>0.03</v>
      </c>
      <c r="M14" s="148">
        <f>IF('Aktuella räntor'!G14=0,"-",'Aktuella räntor'!G14/100)</f>
        <v>0.0332</v>
      </c>
      <c r="N14" s="148">
        <f>IF('Aktuella räntor'!H14=0,"-",'Aktuella räntor'!H14/100)</f>
        <v>0.0354</v>
      </c>
      <c r="O14" s="148" t="str">
        <f>IF('Aktuella räntor'!I14=0,"-",'Aktuella räntor'!I14/100)</f>
        <v>-</v>
      </c>
      <c r="P14" s="148" t="str">
        <f>IF('Aktuella räntor'!J14=0,"-",'Aktuella räntor'!J14/100)</f>
        <v>-</v>
      </c>
      <c r="Q14" s="148">
        <f>IF('Aktuella räntor'!K14=0,"-",'Aktuella räntor'!K14/100)</f>
        <v>0.042300000000000004</v>
      </c>
      <c r="R14" s="148" t="str">
        <f>IF('Aktuella räntor'!L14=0,"-",'Aktuella räntor'!L14/100)</f>
        <v>-</v>
      </c>
      <c r="S14" s="313" t="str">
        <f>IF('Aktuella räntor'!M14=0,"-",'Aktuella räntor'!M14/100)</f>
        <v>-</v>
      </c>
    </row>
    <row r="15" spans="2:19" ht="12">
      <c r="B15" s="80"/>
      <c r="C15" s="146" t="s">
        <v>424</v>
      </c>
      <c r="D15" s="309">
        <f>('Aktuella räntor'!N15-'Aktuella räntor'!O15)/100</f>
        <v>0</v>
      </c>
      <c r="E15" s="309">
        <f>'Aktuella räntor'!O15/100</f>
        <v>0.85</v>
      </c>
      <c r="F15" s="309">
        <f t="shared" si="0"/>
        <v>0.15000000000000002</v>
      </c>
      <c r="G15" s="14"/>
      <c r="H15" s="105">
        <v>0.045</v>
      </c>
      <c r="I15" s="148">
        <f>IF('Aktuella räntor'!C15=0,"-",'Aktuella räntor'!C15/100)</f>
        <v>0.026699999999999998</v>
      </c>
      <c r="J15" s="148">
        <f>IF('Aktuella räntor'!D15=0,"-",'Aktuella räntor'!D15/100)</f>
        <v>0.0265</v>
      </c>
      <c r="K15" s="148">
        <f>IF('Aktuella räntor'!E15=0,"-",'Aktuella räntor'!E15/100)</f>
        <v>0.0273</v>
      </c>
      <c r="L15" s="148">
        <f>IF('Aktuella räntor'!F15=0,"-",'Aktuella räntor'!F15/100)</f>
        <v>0.0298</v>
      </c>
      <c r="M15" s="148">
        <f>IF('Aktuella räntor'!G15=0,"-",'Aktuella räntor'!G15/100)</f>
        <v>0.032799999999999996</v>
      </c>
      <c r="N15" s="148">
        <f>IF('Aktuella räntor'!H15=0,"-",'Aktuella räntor'!H15/100)</f>
        <v>0.0354</v>
      </c>
      <c r="O15" s="148" t="str">
        <f>IF('Aktuella räntor'!I15=0,"-",'Aktuella räntor'!I15/100)</f>
        <v>-</v>
      </c>
      <c r="P15" s="148">
        <f>IF('Aktuella räntor'!J15=0,"-",'Aktuella räntor'!J15/100)</f>
        <v>0.0394</v>
      </c>
      <c r="Q15" s="148" t="str">
        <f>IF('Aktuella räntor'!K15=0,"-",'Aktuella räntor'!K15/100)</f>
        <v>-</v>
      </c>
      <c r="R15" s="148" t="str">
        <f>IF('Aktuella räntor'!L15=0,"-",'Aktuella räntor'!L15/100)</f>
        <v>-</v>
      </c>
      <c r="S15" s="313">
        <f>IF('Aktuella räntor'!M15=0,"-",'Aktuella räntor'!M15/100)</f>
        <v>0.0429</v>
      </c>
    </row>
    <row r="16" spans="2:19" ht="12">
      <c r="B16" s="80"/>
      <c r="C16" s="146" t="s">
        <v>5</v>
      </c>
      <c r="D16" s="309">
        <f>('Aktuella räntor'!N16-'Aktuella räntor'!O16)/100</f>
        <v>0</v>
      </c>
      <c r="E16" s="309">
        <f>'Aktuella räntor'!O16/100</f>
        <v>0.85</v>
      </c>
      <c r="F16" s="309">
        <f t="shared" si="0"/>
        <v>0.15000000000000002</v>
      </c>
      <c r="G16" s="14"/>
      <c r="H16" s="105">
        <v>0.045</v>
      </c>
      <c r="I16" s="148">
        <f>IF('Aktuella räntor'!C16=0,"-",'Aktuella räntor'!C16/100)</f>
        <v>0.0268</v>
      </c>
      <c r="J16" s="148">
        <f>IF('Aktuella räntor'!D16=0,"-",'Aktuella räntor'!D16/100)</f>
        <v>0.0265</v>
      </c>
      <c r="K16" s="148">
        <f>IF('Aktuella räntor'!E16=0,"-",'Aktuella räntor'!E16/100)</f>
        <v>0.0273</v>
      </c>
      <c r="L16" s="148">
        <f>IF('Aktuella räntor'!F16=0,"-",'Aktuella räntor'!F16/100)</f>
        <v>0.0298</v>
      </c>
      <c r="M16" s="148" t="str">
        <f>IF('Aktuella räntor'!G16=0,"-",'Aktuella räntor'!G16/100)</f>
        <v>-</v>
      </c>
      <c r="N16" s="148">
        <f>IF('Aktuella räntor'!H16=0,"-",'Aktuella räntor'!H16/100)</f>
        <v>0.0354</v>
      </c>
      <c r="O16" s="148" t="str">
        <f>IF('Aktuella räntor'!I16=0,"-",'Aktuella räntor'!I16/100)</f>
        <v>-</v>
      </c>
      <c r="P16" s="148" t="str">
        <f>IF('Aktuella räntor'!J16=0,"-",'Aktuella räntor'!J16/100)</f>
        <v>-</v>
      </c>
      <c r="Q16" s="148" t="str">
        <f>IF('Aktuella räntor'!K16=0,"-",'Aktuella räntor'!K16/100)</f>
        <v>-</v>
      </c>
      <c r="R16" s="148" t="str">
        <f>IF('Aktuella räntor'!L16=0,"-",'Aktuella räntor'!L16/100)</f>
        <v>-</v>
      </c>
      <c r="S16" s="313">
        <f>IF('Aktuella räntor'!M16=0,"-",'Aktuella räntor'!M16/100)</f>
        <v>0.0429</v>
      </c>
    </row>
    <row r="17" spans="2:19" ht="12">
      <c r="B17" s="136"/>
      <c r="C17" s="146" t="s">
        <v>6</v>
      </c>
      <c r="D17" s="309">
        <f>('Aktuella räntor'!N17-'Aktuella räntor'!O17)/100</f>
        <v>0</v>
      </c>
      <c r="E17" s="309">
        <f>'Aktuella räntor'!O17/100</f>
        <v>0.85</v>
      </c>
      <c r="F17" s="309">
        <f t="shared" si="0"/>
        <v>0.15000000000000002</v>
      </c>
      <c r="G17" s="14"/>
      <c r="H17" s="105">
        <v>0.045</v>
      </c>
      <c r="I17" s="148">
        <f>IF('Aktuella räntor'!C17=0,"-",'Aktuella räntor'!C17/100)</f>
        <v>0.0269</v>
      </c>
      <c r="J17" s="148">
        <f>IF('Aktuella räntor'!D17=0,"-",'Aktuella räntor'!D17/100)</f>
        <v>0.0269</v>
      </c>
      <c r="K17" s="148">
        <f>IF('Aktuella räntor'!E17=0,"-",'Aktuella räntor'!E17/100)</f>
        <v>0.0278</v>
      </c>
      <c r="L17" s="148">
        <f>IF('Aktuella räntor'!F17=0,"-",'Aktuella räntor'!F17/100)</f>
        <v>0.0301</v>
      </c>
      <c r="M17" s="148" t="str">
        <f>IF('Aktuella räntor'!G17=0,"-",'Aktuella räntor'!G17/100)</f>
        <v>-</v>
      </c>
      <c r="N17" s="148">
        <f>IF('Aktuella räntor'!H17=0,"-",'Aktuella räntor'!H17/100)</f>
        <v>0.0361</v>
      </c>
      <c r="O17" s="148" t="str">
        <f>IF('Aktuella räntor'!I17=0,"-",'Aktuella räntor'!I17/100)</f>
        <v>-</v>
      </c>
      <c r="P17" s="148" t="str">
        <f>IF('Aktuella räntor'!J17=0,"-",'Aktuella räntor'!J17/100)</f>
        <v>-</v>
      </c>
      <c r="Q17" s="148" t="str">
        <f>IF('Aktuella räntor'!K17=0,"-",'Aktuella räntor'!K17/100)</f>
        <v>-</v>
      </c>
      <c r="R17" s="148" t="str">
        <f>IF('Aktuella räntor'!L17=0,"-",'Aktuella räntor'!L17/100)</f>
        <v>-</v>
      </c>
      <c r="S17" s="313" t="str">
        <f>IF('Aktuella räntor'!M17=0,"-",'Aktuella räntor'!M17/100)</f>
        <v>-</v>
      </c>
    </row>
    <row r="18" spans="2:19" ht="12">
      <c r="B18" s="180"/>
      <c r="C18" s="147" t="s">
        <v>9</v>
      </c>
      <c r="D18" s="310">
        <f>('Aktuella räntor'!N18-'Aktuella räntor'!O18)/100</f>
        <v>0.1</v>
      </c>
      <c r="E18" s="310">
        <f>'Aktuella räntor'!O18/100</f>
        <v>0.75</v>
      </c>
      <c r="F18" s="310">
        <f t="shared" si="0"/>
        <v>0.15000000000000002</v>
      </c>
      <c r="G18" s="18"/>
      <c r="H18" s="311">
        <v>0.045</v>
      </c>
      <c r="I18" s="312">
        <f>IF('Aktuella räntor'!C18=0,"-",'Aktuella räntor'!C18/100)</f>
        <v>0.0269</v>
      </c>
      <c r="J18" s="312">
        <f>IF('Aktuella räntor'!D18=0,"-",'Aktuella räntor'!D18/100)</f>
        <v>0.0269</v>
      </c>
      <c r="K18" s="312">
        <f>IF('Aktuella räntor'!E18=0,"-",'Aktuella räntor'!E18/100)</f>
        <v>0.0281</v>
      </c>
      <c r="L18" s="312">
        <f>IF('Aktuella räntor'!F18=0,"-",'Aktuella räntor'!F18/100)</f>
        <v>0.030299999999999997</v>
      </c>
      <c r="M18" s="312">
        <f>IF('Aktuella räntor'!G18=0,"-",'Aktuella räntor'!G18/100)</f>
        <v>0.0339</v>
      </c>
      <c r="N18" s="312">
        <f>IF('Aktuella räntor'!H18=0,"-",'Aktuella räntor'!H18/100)</f>
        <v>0.0356</v>
      </c>
      <c r="O18" s="312">
        <f>IF('Aktuella räntor'!I18=0,"-",'Aktuella räntor'!I18/100)</f>
        <v>0.039</v>
      </c>
      <c r="P18" s="312">
        <f>IF('Aktuella räntor'!J18=0,"-",'Aktuella räntor'!J18/100)</f>
        <v>0.0407</v>
      </c>
      <c r="Q18" s="312">
        <f>IF('Aktuella räntor'!K18=0,"-",'Aktuella räntor'!K18/100)</f>
        <v>0.0418</v>
      </c>
      <c r="R18" s="312">
        <f>IF('Aktuella räntor'!L18=0,"-",'Aktuella räntor'!L18/100)</f>
        <v>0.042800000000000005</v>
      </c>
      <c r="S18" s="314">
        <f>IF('Aktuella räntor'!M18=0,"-",'Aktuella räntor'!M18/100)</f>
        <v>0.0433</v>
      </c>
    </row>
    <row r="19" spans="14:22" ht="12">
      <c r="N19" s="48"/>
      <c r="O19" s="48"/>
      <c r="P19" s="48"/>
      <c r="Q19" s="48"/>
      <c r="R19" s="48"/>
      <c r="S19" s="48"/>
      <c r="T19" s="48"/>
      <c r="U19" s="48"/>
      <c r="V19" s="48"/>
    </row>
    <row r="21" spans="2:13" ht="12">
      <c r="B21" s="82" t="s">
        <v>243</v>
      </c>
      <c r="C21" s="13"/>
      <c r="D21" s="73"/>
      <c r="E21" s="73"/>
      <c r="F21" s="83"/>
      <c r="H21" s="49" t="s">
        <v>247</v>
      </c>
      <c r="I21" s="13"/>
      <c r="J21" s="13"/>
      <c r="K21" s="50">
        <f>IF(J3&gt;0,J3,SUM(F24:F34))</f>
        <v>0.026699999999999998</v>
      </c>
      <c r="L21" s="92"/>
      <c r="M21" s="92"/>
    </row>
    <row r="22" spans="2:13" ht="12">
      <c r="B22" s="22"/>
      <c r="C22" s="14"/>
      <c r="D22" s="76"/>
      <c r="E22" s="76"/>
      <c r="F22" s="53"/>
      <c r="H22" s="51" t="s">
        <v>248</v>
      </c>
      <c r="I22" s="14"/>
      <c r="J22" s="14"/>
      <c r="K22" s="56">
        <f>IF(J3&gt;0,J3,VLOOKUP("x",B10:H18,7))</f>
        <v>0.045</v>
      </c>
      <c r="L22" s="92"/>
      <c r="M22" s="92"/>
    </row>
    <row r="23" spans="2:13" ht="12">
      <c r="B23" s="22"/>
      <c r="C23" s="84"/>
      <c r="D23" s="85" t="s">
        <v>244</v>
      </c>
      <c r="E23" s="85" t="s">
        <v>245</v>
      </c>
      <c r="F23" s="108"/>
      <c r="G23" s="46"/>
      <c r="H23" s="51" t="s">
        <v>250</v>
      </c>
      <c r="I23" s="14"/>
      <c r="J23" s="14"/>
      <c r="K23" s="302">
        <f>VLOOKUP("x",B1:D18,3)</f>
        <v>0</v>
      </c>
      <c r="L23" s="76"/>
      <c r="M23" s="305" t="s">
        <v>447</v>
      </c>
    </row>
    <row r="24" spans="2:13" ht="12">
      <c r="B24" s="22"/>
      <c r="C24" s="17" t="s">
        <v>213</v>
      </c>
      <c r="D24" s="90">
        <f>VLOOKUP("x",$B$10:$S$18,8)</f>
        <v>0.026699999999999998</v>
      </c>
      <c r="E24" s="86">
        <v>1</v>
      </c>
      <c r="F24" s="149">
        <f>D24*E24</f>
        <v>0.026699999999999998</v>
      </c>
      <c r="H24" s="54" t="s">
        <v>249</v>
      </c>
      <c r="I24" s="18"/>
      <c r="J24" s="18"/>
      <c r="K24" s="303">
        <f>VLOOKUP("x",B1:E18,4)</f>
        <v>0.85</v>
      </c>
      <c r="L24" s="76"/>
      <c r="M24" s="305" t="s">
        <v>446</v>
      </c>
    </row>
    <row r="25" spans="2:6" ht="12">
      <c r="B25" s="22"/>
      <c r="C25" s="17" t="s">
        <v>117</v>
      </c>
      <c r="D25" s="90">
        <f>VLOOKUP("x",$B$10:$S$18,8)</f>
        <v>0.026699999999999998</v>
      </c>
      <c r="E25" s="86">
        <f aca="true" t="shared" si="1" ref="E25:E34">IF(D25="-","Ej tillgänglig",0)</f>
        <v>0</v>
      </c>
      <c r="F25" s="87">
        <f>IF(D25="-",0,D25*E25)</f>
        <v>0</v>
      </c>
    </row>
    <row r="26" spans="2:8" ht="12">
      <c r="B26" s="22"/>
      <c r="C26" s="17" t="s">
        <v>118</v>
      </c>
      <c r="D26" s="90">
        <f>VLOOKUP("x",$B$10:$S$18,10)</f>
        <v>0.0273</v>
      </c>
      <c r="E26" s="86">
        <f t="shared" si="1"/>
        <v>0</v>
      </c>
      <c r="F26" s="87">
        <f>IF(D26="-",0,D26*E26)</f>
        <v>0</v>
      </c>
      <c r="H26" s="89" t="s">
        <v>126</v>
      </c>
    </row>
    <row r="27" spans="2:8" ht="12">
      <c r="B27" s="22"/>
      <c r="C27" s="17" t="s">
        <v>415</v>
      </c>
      <c r="D27" s="90">
        <f>VLOOKUP("x",$B$10:$S$18,11)</f>
        <v>0.0298</v>
      </c>
      <c r="E27" s="86">
        <f t="shared" si="1"/>
        <v>0</v>
      </c>
      <c r="F27" s="87"/>
      <c r="H27" s="89"/>
    </row>
    <row r="28" spans="2:8" ht="12">
      <c r="B28" s="22"/>
      <c r="C28" s="17" t="s">
        <v>416</v>
      </c>
      <c r="D28" s="90">
        <f>VLOOKUP("x",$B$10:$S$18,12)</f>
        <v>0.032799999999999996</v>
      </c>
      <c r="E28" s="86">
        <f t="shared" si="1"/>
        <v>0</v>
      </c>
      <c r="F28" s="87"/>
      <c r="H28" s="89"/>
    </row>
    <row r="29" spans="2:6" ht="12">
      <c r="B29" s="22"/>
      <c r="C29" s="17" t="s">
        <v>119</v>
      </c>
      <c r="D29" s="90">
        <f>VLOOKUP("x",$B$10:$S$18,13)</f>
        <v>0.0354</v>
      </c>
      <c r="E29" s="86">
        <f t="shared" si="1"/>
        <v>0</v>
      </c>
      <c r="F29" s="87">
        <f>IF(D29="-",0,D29*E29)</f>
        <v>0</v>
      </c>
    </row>
    <row r="30" spans="2:6" ht="12">
      <c r="B30" s="22"/>
      <c r="C30" s="17" t="s">
        <v>417</v>
      </c>
      <c r="D30" s="90" t="str">
        <f>VLOOKUP("x",$B$10:$S$18,14)</f>
        <v>-</v>
      </c>
      <c r="E30" s="86" t="str">
        <f t="shared" si="1"/>
        <v>Ej tillgänglig</v>
      </c>
      <c r="F30" s="87"/>
    </row>
    <row r="31" spans="2:6" ht="12">
      <c r="B31" s="22"/>
      <c r="C31" s="17" t="s">
        <v>418</v>
      </c>
      <c r="D31" s="90">
        <f>VLOOKUP("x",$B$10:$S$18,15)</f>
        <v>0.0394</v>
      </c>
      <c r="E31" s="86">
        <f t="shared" si="1"/>
        <v>0</v>
      </c>
      <c r="F31" s="87"/>
    </row>
    <row r="32" spans="2:6" ht="12">
      <c r="B32" s="22"/>
      <c r="C32" s="17" t="s">
        <v>214</v>
      </c>
      <c r="D32" s="90" t="str">
        <f>VLOOKUP("x",$B$10:$S$18,16)</f>
        <v>-</v>
      </c>
      <c r="E32" s="86" t="str">
        <f t="shared" si="1"/>
        <v>Ej tillgänglig</v>
      </c>
      <c r="F32" s="87">
        <f>IF(D32="-",0,D32*E32)</f>
        <v>0</v>
      </c>
    </row>
    <row r="33" spans="2:6" ht="12">
      <c r="B33" s="22"/>
      <c r="C33" s="17" t="s">
        <v>419</v>
      </c>
      <c r="D33" s="90" t="str">
        <f>VLOOKUP("x",$B$10:$S$18,17)</f>
        <v>-</v>
      </c>
      <c r="E33" s="86" t="str">
        <f t="shared" si="1"/>
        <v>Ej tillgänglig</v>
      </c>
      <c r="F33" s="87"/>
    </row>
    <row r="34" spans="2:6" ht="12">
      <c r="B34" s="22"/>
      <c r="C34" s="17" t="s">
        <v>215</v>
      </c>
      <c r="D34" s="90">
        <f>VLOOKUP("x",$B$10:$S$18,18)</f>
        <v>0.0429</v>
      </c>
      <c r="E34" s="86">
        <f t="shared" si="1"/>
        <v>0</v>
      </c>
      <c r="F34" s="87">
        <f>IF(D34="-",0,D34*E34)</f>
        <v>0</v>
      </c>
    </row>
    <row r="35" spans="2:6" ht="12">
      <c r="B35" s="22"/>
      <c r="C35" s="14"/>
      <c r="D35" s="76"/>
      <c r="E35" s="81">
        <f>SUM(E24:E34)</f>
        <v>1</v>
      </c>
      <c r="F35" s="53"/>
    </row>
    <row r="36" spans="2:10" ht="12">
      <c r="B36" s="23"/>
      <c r="C36" s="18"/>
      <c r="D36" s="88"/>
      <c r="E36" s="91">
        <f>IF(E35=1,"","Summan måste vara 100 %")</f>
      </c>
      <c r="F36" s="55"/>
      <c r="J36" s="47"/>
    </row>
    <row r="39" ht="12">
      <c r="C39" s="20" t="s">
        <v>14</v>
      </c>
    </row>
    <row r="40" ht="12">
      <c r="C40" s="20" t="s">
        <v>15</v>
      </c>
    </row>
    <row r="41" ht="12">
      <c r="C41" s="3" t="s">
        <v>425</v>
      </c>
    </row>
    <row r="43" ht="12">
      <c r="C43" s="3" t="s">
        <v>165</v>
      </c>
    </row>
    <row r="45" ht="12">
      <c r="C45" s="20" t="s">
        <v>104</v>
      </c>
    </row>
    <row r="47" ht="12">
      <c r="B47" s="201" t="s">
        <v>377</v>
      </c>
    </row>
    <row r="48" ht="12">
      <c r="B48" s="201" t="s">
        <v>378</v>
      </c>
    </row>
  </sheetData>
  <sheetProtection/>
  <hyperlinks>
    <hyperlink ref="I8" location="'Aktuella räntor'!A1" display=" F7. Bottenlån ränta (se fliken för Aktuella räntor nedan)"/>
  </hyperlinks>
  <printOptions/>
  <pageMargins left="0.75" right="0.75" top="1" bottom="1" header="0.5" footer="0.5"/>
  <pageSetup horizontalDpi="200" verticalDpi="200" orientation="portrait" paperSize="9"/>
  <drawing r:id="rId1"/>
</worksheet>
</file>

<file path=xl/worksheets/sheet6.xml><?xml version="1.0" encoding="utf-8"?>
<worksheet xmlns="http://schemas.openxmlformats.org/spreadsheetml/2006/main" xmlns:r="http://schemas.openxmlformats.org/officeDocument/2006/relationships">
  <dimension ref="E3:K13"/>
  <sheetViews>
    <sheetView workbookViewId="0" topLeftCell="A1">
      <selection activeCell="J17" sqref="J17"/>
    </sheetView>
  </sheetViews>
  <sheetFormatPr defaultColWidth="11.421875" defaultRowHeight="12.75"/>
  <cols>
    <col min="1" max="4" width="10.8515625" style="248" customWidth="1"/>
    <col min="5" max="5" width="53.28125" style="248" customWidth="1"/>
    <col min="6" max="6" width="16.421875" style="248" customWidth="1"/>
    <col min="7" max="16384" width="10.8515625" style="248" customWidth="1"/>
  </cols>
  <sheetData>
    <row r="1" ht="12.75"/>
    <row r="2" ht="12.75"/>
    <row r="3" spans="5:11" ht="19.5">
      <c r="E3" s="247" t="s">
        <v>380</v>
      </c>
      <c r="F3" s="247"/>
      <c r="G3" s="247"/>
      <c r="H3" s="247"/>
      <c r="I3" s="247"/>
      <c r="J3" s="247"/>
      <c r="K3" s="247"/>
    </row>
    <row r="4" ht="12.75"/>
    <row r="5" ht="12.75"/>
    <row r="6" ht="15">
      <c r="E6" s="249" t="s">
        <v>396</v>
      </c>
    </row>
    <row r="7" ht="12.75"/>
    <row r="8" spans="5:6" ht="18">
      <c r="E8" s="250" t="s">
        <v>381</v>
      </c>
      <c r="F8" s="264">
        <f>Inställningar!G9</f>
        <v>1500000</v>
      </c>
    </row>
    <row r="9" spans="5:6" ht="18">
      <c r="E9" s="250" t="s">
        <v>382</v>
      </c>
      <c r="F9" s="265">
        <v>0.04</v>
      </c>
    </row>
    <row r="10" spans="5:6" ht="18">
      <c r="E10" s="250" t="s">
        <v>395</v>
      </c>
      <c r="F10" s="266">
        <v>300</v>
      </c>
    </row>
    <row r="11" spans="5:6" ht="18">
      <c r="E11" s="250" t="s">
        <v>394</v>
      </c>
      <c r="F11" s="264">
        <f>Prospekt!I31</f>
        <v>1500</v>
      </c>
    </row>
    <row r="12" ht="12.75"/>
    <row r="13" spans="5:6" ht="18">
      <c r="E13" s="252" t="s">
        <v>383</v>
      </c>
      <c r="F13" s="251">
        <f>(F8*F9/12)+F11+F10</f>
        <v>6800</v>
      </c>
    </row>
  </sheetData>
  <sheetProtection/>
  <printOptions/>
  <pageMargins left="0.75" right="0.75" top="1" bottom="1" header="0.5" footer="0.5"/>
  <pageSetup orientation="portrait"/>
  <drawing r:id="rId3"/>
  <legacyDrawing r:id="rId2"/>
</worksheet>
</file>

<file path=xl/worksheets/sheet7.xml><?xml version="1.0" encoding="utf-8"?>
<worksheet xmlns="http://schemas.openxmlformats.org/spreadsheetml/2006/main" xmlns:r="http://schemas.openxmlformats.org/officeDocument/2006/relationships">
  <dimension ref="B2:L37"/>
  <sheetViews>
    <sheetView workbookViewId="0" topLeftCell="A1">
      <selection activeCell="K49" sqref="K49"/>
    </sheetView>
  </sheetViews>
  <sheetFormatPr defaultColWidth="9.140625" defaultRowHeight="12.75"/>
  <cols>
    <col min="1" max="1" width="1.421875" style="1" customWidth="1"/>
    <col min="2" max="2" width="17.28125" style="1" customWidth="1"/>
    <col min="3" max="3" width="16.28125" style="1" bestFit="1" customWidth="1"/>
    <col min="4" max="4" width="6.140625" style="1" customWidth="1"/>
    <col min="5" max="5" width="17.8515625" style="1" bestFit="1" customWidth="1"/>
    <col min="6" max="6" width="12.7109375" style="1" customWidth="1"/>
    <col min="7" max="7" width="2.8515625" style="1" customWidth="1"/>
    <col min="8" max="8" width="11.28125" style="1" customWidth="1"/>
    <col min="9" max="9" width="12.421875" style="1" customWidth="1"/>
    <col min="10" max="10" width="5.421875" style="1" customWidth="1"/>
    <col min="11" max="11" width="13.00390625" style="1" bestFit="1" customWidth="1"/>
    <col min="12" max="12" width="10.140625" style="1" bestFit="1" customWidth="1"/>
    <col min="13" max="16384" width="9.140625" style="1" customWidth="1"/>
  </cols>
  <sheetData>
    <row r="2" spans="2:12" s="29" customFormat="1" ht="15">
      <c r="B2" s="318" t="str">
        <f>IF(Prospekt!C16="","",Prospekt!C16)</f>
        <v>Lägenhet 1</v>
      </c>
      <c r="C2" s="318"/>
      <c r="D2" s="182"/>
      <c r="E2" s="318" t="str">
        <f>IF(Prospekt!C17="","",Prospekt!C17)</f>
        <v>Villa 1</v>
      </c>
      <c r="F2" s="318"/>
      <c r="H2" s="318" t="str">
        <f>IF(Prospekt!C18="","Prospekt 3",Prospekt!C18)</f>
        <v>Villa 2</v>
      </c>
      <c r="I2" s="318"/>
      <c r="K2" s="318" t="str">
        <f>IF(Prospekt!C19="","Prospekt 4",Prospekt!C19)</f>
        <v>Prospekt 4</v>
      </c>
      <c r="L2" s="318"/>
    </row>
    <row r="3" spans="2:12" ht="12">
      <c r="B3" s="3" t="s">
        <v>276</v>
      </c>
      <c r="C3" s="3" t="s">
        <v>277</v>
      </c>
      <c r="E3" s="3" t="s">
        <v>276</v>
      </c>
      <c r="F3" s="3" t="s">
        <v>277</v>
      </c>
      <c r="H3" s="3" t="s">
        <v>276</v>
      </c>
      <c r="I3" s="3" t="s">
        <v>277</v>
      </c>
      <c r="K3" s="3" t="s">
        <v>276</v>
      </c>
      <c r="L3" s="3" t="s">
        <v>277</v>
      </c>
    </row>
    <row r="4" spans="2:6" ht="12">
      <c r="B4" s="26" t="s">
        <v>278</v>
      </c>
      <c r="C4" s="26" t="s">
        <v>280</v>
      </c>
      <c r="E4" s="26" t="s">
        <v>281</v>
      </c>
      <c r="F4" s="26" t="s">
        <v>283</v>
      </c>
    </row>
    <row r="5" spans="2:6" ht="12">
      <c r="B5" s="26" t="s">
        <v>279</v>
      </c>
      <c r="E5" s="26" t="s">
        <v>282</v>
      </c>
      <c r="F5" s="26" t="s">
        <v>284</v>
      </c>
    </row>
    <row r="6" spans="2:6" ht="12">
      <c r="B6" s="26" t="s">
        <v>290</v>
      </c>
      <c r="E6" s="26" t="s">
        <v>285</v>
      </c>
      <c r="F6" s="26"/>
    </row>
    <row r="14" spans="2:5" ht="12">
      <c r="B14" s="3"/>
      <c r="E14" s="3"/>
    </row>
    <row r="15" ht="12">
      <c r="B15" s="26"/>
    </row>
    <row r="16" ht="12">
      <c r="B16" s="26"/>
    </row>
    <row r="17" s="183" customFormat="1" ht="3" customHeight="1"/>
    <row r="18" ht="12">
      <c r="B18" s="26"/>
    </row>
    <row r="19" spans="2:12" s="29" customFormat="1" ht="15">
      <c r="B19" s="318" t="str">
        <f>IF(Prospekt!C20="","Prospekt 5",Prospekt!C20)</f>
        <v>Prospekt 5</v>
      </c>
      <c r="C19" s="318"/>
      <c r="D19" s="182"/>
      <c r="E19" s="318" t="str">
        <f>IF(Prospekt!G21="","Prospekt 6",Prospekt!G21)</f>
        <v>Prospekt 6</v>
      </c>
      <c r="F19" s="318"/>
      <c r="H19" s="318" t="str">
        <f>IF(Prospekt!L22="","Prospekt 7",Prospekt!L22)</f>
        <v>Prospekt 7</v>
      </c>
      <c r="I19" s="318"/>
      <c r="K19" s="318" t="str">
        <f>IF(Prospekt!P23="","Prospekt 8",Prospekt!P23)</f>
        <v>Prospekt 8</v>
      </c>
      <c r="L19" s="318"/>
    </row>
    <row r="20" spans="2:12" ht="12">
      <c r="B20" s="3" t="s">
        <v>276</v>
      </c>
      <c r="C20" s="3" t="s">
        <v>277</v>
      </c>
      <c r="E20" s="3" t="s">
        <v>276</v>
      </c>
      <c r="F20" s="3" t="s">
        <v>277</v>
      </c>
      <c r="H20" s="3" t="s">
        <v>276</v>
      </c>
      <c r="I20" s="3" t="s">
        <v>277</v>
      </c>
      <c r="K20" s="3" t="s">
        <v>276</v>
      </c>
      <c r="L20" s="3" t="s">
        <v>277</v>
      </c>
    </row>
    <row r="34" ht="12">
      <c r="B34" s="201" t="s">
        <v>314</v>
      </c>
    </row>
    <row r="36" ht="12">
      <c r="B36" s="201" t="s">
        <v>377</v>
      </c>
    </row>
    <row r="37" ht="12">
      <c r="B37" s="201" t="s">
        <v>378</v>
      </c>
    </row>
  </sheetData>
  <sheetProtection/>
  <mergeCells count="8">
    <mergeCell ref="B2:C2"/>
    <mergeCell ref="E2:F2"/>
    <mergeCell ref="H2:I2"/>
    <mergeCell ref="K2:L2"/>
    <mergeCell ref="B19:C19"/>
    <mergeCell ref="E19:F19"/>
    <mergeCell ref="H19:I19"/>
    <mergeCell ref="K19:L19"/>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F59"/>
  <sheetViews>
    <sheetView workbookViewId="0" topLeftCell="A1">
      <selection activeCell="B23" sqref="B23"/>
    </sheetView>
  </sheetViews>
  <sheetFormatPr defaultColWidth="8.8515625" defaultRowHeight="12.75"/>
  <cols>
    <col min="1" max="1" width="1.8515625" style="0" customWidth="1"/>
    <col min="2" max="2" width="26.140625" style="0" customWidth="1"/>
    <col min="3" max="3" width="27.421875" style="0" customWidth="1"/>
    <col min="4" max="4" width="7.00390625" style="0" customWidth="1"/>
    <col min="5" max="5" width="10.28125" style="0" customWidth="1"/>
    <col min="6" max="6" width="11.421875" style="0" bestFit="1" customWidth="1"/>
  </cols>
  <sheetData>
    <row r="2" s="199" customFormat="1" ht="16.5">
      <c r="B2" s="199" t="s">
        <v>330</v>
      </c>
    </row>
    <row r="3" ht="12">
      <c r="B3" s="168" t="s">
        <v>323</v>
      </c>
    </row>
    <row r="4" ht="12">
      <c r="B4" s="168"/>
    </row>
    <row r="5" s="199" customFormat="1" ht="16.5">
      <c r="B5" s="181" t="s">
        <v>293</v>
      </c>
    </row>
    <row r="7" spans="2:6" s="171" customFormat="1" ht="12">
      <c r="B7" s="171" t="s">
        <v>273</v>
      </c>
      <c r="C7" s="171" t="s">
        <v>291</v>
      </c>
      <c r="D7" s="171" t="s">
        <v>292</v>
      </c>
      <c r="E7" s="171" t="s">
        <v>274</v>
      </c>
      <c r="F7" s="171" t="s">
        <v>275</v>
      </c>
    </row>
    <row r="8" spans="2:6" ht="12">
      <c r="B8" s="190" t="str">
        <f>IF(Prospekt!C16="","",Prospekt!C16)</f>
        <v>Lägenhet 1</v>
      </c>
      <c r="C8" s="191" t="str">
        <f>IF(Prospekt!E16="","",Prospekt!E16)</f>
        <v>Torsdag kl 18.30</v>
      </c>
      <c r="D8" s="192">
        <f>IF(Prospekt!G16="","",Prospekt!G16)</f>
        <v>5</v>
      </c>
      <c r="E8" s="193">
        <f>IF(Prospekt!I16="","",Prospekt!I16)</f>
        <v>2300</v>
      </c>
      <c r="F8" s="194">
        <f>IF(Prospekt!L16="","",Prospekt!L16)</f>
        <v>1600000</v>
      </c>
    </row>
    <row r="9" spans="2:6" ht="12">
      <c r="B9" s="184" t="str">
        <f>IF(Prospekt!C17="","",Prospekt!C17)</f>
        <v>Villa 1</v>
      </c>
      <c r="C9" s="185" t="str">
        <f>IF(Prospekt!E17="","",Prospekt!E17)</f>
        <v>Fredag kl 18.00</v>
      </c>
      <c r="D9" s="186">
        <f>IF(Prospekt!G17="","",Prospekt!G17)</f>
        <v>6</v>
      </c>
      <c r="E9" s="187">
        <f>IF(Prospekt!I17="","",Prospekt!I17)</f>
        <v>0</v>
      </c>
      <c r="F9" s="195">
        <f>IF(Prospekt!L17="","",Prospekt!L17)</f>
        <v>3975000</v>
      </c>
    </row>
    <row r="10" spans="2:6" ht="12">
      <c r="B10" s="184" t="str">
        <f>IF(Prospekt!C18="","",Prospekt!C18)</f>
        <v>Villa 2</v>
      </c>
      <c r="C10" s="185" t="str">
        <f>IF(Prospekt!E18="","",Prospekt!E18)</f>
        <v>Ring för visning</v>
      </c>
      <c r="D10" s="186">
        <f>IF(Prospekt!G18="","",Prospekt!G18)</f>
        <v>8</v>
      </c>
      <c r="E10" s="187">
        <f>IF(Prospekt!I18="","",Prospekt!I18)</f>
        <v>0</v>
      </c>
      <c r="F10" s="195">
        <f>IF(Prospekt!L18="","",Prospekt!L18)</f>
        <v>3800000</v>
      </c>
    </row>
    <row r="11" spans="2:6" ht="12">
      <c r="B11" s="184">
        <f>IF(Prospekt!C19="","",Prospekt!C19)</f>
      </c>
      <c r="C11" s="185">
        <f>IF(Prospekt!E19="","",Prospekt!E19)</f>
      </c>
      <c r="D11" s="186">
        <f>IF(Prospekt!G19="","",Prospekt!G19)</f>
      </c>
      <c r="E11" s="187">
        <f>IF(Prospekt!I19="","",Prospekt!I19)</f>
      </c>
      <c r="F11" s="195">
        <f>IF(Prospekt!L19="","",Prospekt!L19)</f>
      </c>
    </row>
    <row r="12" spans="2:6" ht="12">
      <c r="B12" s="184">
        <f>IF(Prospekt!C20="","",Prospekt!C20)</f>
      </c>
      <c r="C12" s="185">
        <f>IF(Prospekt!E20="","",Prospekt!E20)</f>
      </c>
      <c r="D12" s="186">
        <f>IF(Prospekt!G20="","",Prospekt!G20)</f>
      </c>
      <c r="E12" s="187">
        <f>IF(Prospekt!I20="","",Prospekt!I20)</f>
      </c>
      <c r="F12" s="195">
        <f>IF(Prospekt!L20="","",Prospekt!L20)</f>
      </c>
    </row>
    <row r="13" spans="2:6" ht="12">
      <c r="B13" s="184">
        <f>IF(Prospekt!C21="","",Prospekt!C21)</f>
      </c>
      <c r="C13" s="185">
        <f>IF(Prospekt!E21="","",Prospekt!E21)</f>
      </c>
      <c r="D13" s="186">
        <f>IF(Prospekt!G21="","",Prospekt!G21)</f>
      </c>
      <c r="E13" s="187">
        <f>IF(Prospekt!I21="","",Prospekt!I21)</f>
      </c>
      <c r="F13" s="195">
        <f>IF(Prospekt!L21="","",Prospekt!L21)</f>
      </c>
    </row>
    <row r="14" spans="2:6" ht="12">
      <c r="B14" s="184">
        <f>IF(Prospekt!C22="","",Prospekt!C22)</f>
      </c>
      <c r="C14" s="185">
        <f>IF(Prospekt!E22="","",Prospekt!E22)</f>
      </c>
      <c r="D14" s="186">
        <f>IF(Prospekt!G22="","",Prospekt!G22)</f>
      </c>
      <c r="E14" s="187">
        <f>IF(Prospekt!I22="","",Prospekt!I22)</f>
      </c>
      <c r="F14" s="195">
        <f>IF(Prospekt!L22="","",Prospekt!L22)</f>
      </c>
    </row>
    <row r="15" spans="2:6" ht="12">
      <c r="B15" s="184">
        <f>IF(Prospekt!C23="","",Prospekt!C23)</f>
      </c>
      <c r="C15" s="185">
        <f>IF(Prospekt!E23="","",Prospekt!E23)</f>
      </c>
      <c r="D15" s="186">
        <f>IF(Prospekt!G23="","",Prospekt!G23)</f>
      </c>
      <c r="E15" s="187">
        <f>IF(Prospekt!I23="","",Prospekt!I23)</f>
      </c>
      <c r="F15" s="195">
        <f>IF(Prospekt!L23="","",Prospekt!L23)</f>
      </c>
    </row>
    <row r="16" spans="2:6" ht="12">
      <c r="B16" s="184">
        <f>IF(Prospekt!C24="","",Prospekt!C24)</f>
      </c>
      <c r="C16" s="185">
        <f>IF(Prospekt!E24="","",Prospekt!E24)</f>
      </c>
      <c r="D16" s="186">
        <f>IF(Prospekt!G24="","",Prospekt!G24)</f>
      </c>
      <c r="E16" s="187">
        <f>IF(Prospekt!I24="","",Prospekt!I24)</f>
      </c>
      <c r="F16" s="195">
        <f>IF(Prospekt!L24="","",Prospekt!L24)</f>
      </c>
    </row>
    <row r="17" spans="2:6" ht="12">
      <c r="B17" s="184">
        <f>IF(Prospekt!C25="","",Prospekt!C25)</f>
      </c>
      <c r="C17" s="185">
        <f>IF(Prospekt!E25="","",Prospekt!E25)</f>
      </c>
      <c r="D17" s="186">
        <f>IF(Prospekt!G25="","",Prospekt!G25)</f>
      </c>
      <c r="E17" s="187">
        <f>IF(Prospekt!I25="","",Prospekt!I25)</f>
      </c>
      <c r="F17" s="195">
        <f>IF(Prospekt!L25="","",Prospekt!L25)</f>
      </c>
    </row>
    <row r="18" spans="2:6" ht="12">
      <c r="B18" s="184">
        <f>IF(Prospekt!C26="","",Prospekt!C26)</f>
      </c>
      <c r="C18" s="185">
        <f>IF(Prospekt!E26="","",Prospekt!E26)</f>
      </c>
      <c r="D18" s="186">
        <f>IF(Prospekt!G26="","",Prospekt!G26)</f>
      </c>
      <c r="E18" s="187">
        <f>IF(Prospekt!I26="","",Prospekt!I26)</f>
      </c>
      <c r="F18" s="195">
        <f>IF(Prospekt!L26="","",Prospekt!L26)</f>
      </c>
    </row>
    <row r="19" spans="2:6" ht="12">
      <c r="B19" s="188">
        <f>IF(Prospekt!C27="","",Prospekt!C27)</f>
      </c>
      <c r="C19" s="197">
        <f>IF(Prospekt!E27="","",Prospekt!E27)</f>
      </c>
      <c r="D19" s="198">
        <f>IF(Prospekt!G27="","",Prospekt!G27)</f>
      </c>
      <c r="E19" s="189">
        <f>IF(Prospekt!I27="","",Prospekt!I27)</f>
      </c>
      <c r="F19" s="196">
        <f>IF(Prospekt!L27="","",Prospekt!L27)</f>
      </c>
    </row>
    <row r="20" ht="12">
      <c r="B20" s="200" t="s">
        <v>313</v>
      </c>
    </row>
    <row r="22" ht="15">
      <c r="B22" s="181" t="s">
        <v>300</v>
      </c>
    </row>
    <row r="23" s="171" customFormat="1" ht="12">
      <c r="B23" s="168" t="s">
        <v>331</v>
      </c>
    </row>
    <row r="24" s="171" customFormat="1" ht="12">
      <c r="B24" s="175" t="s">
        <v>306</v>
      </c>
    </row>
    <row r="25" ht="15">
      <c r="B25" s="181"/>
    </row>
    <row r="26" ht="12">
      <c r="B26" s="175" t="s">
        <v>301</v>
      </c>
    </row>
    <row r="27" ht="12">
      <c r="B27" s="175" t="s">
        <v>304</v>
      </c>
    </row>
    <row r="28" ht="12">
      <c r="B28" s="175" t="s">
        <v>294</v>
      </c>
    </row>
    <row r="29" ht="12">
      <c r="B29" s="175" t="s">
        <v>305</v>
      </c>
    </row>
    <row r="30" ht="12">
      <c r="B30" s="175" t="s">
        <v>303</v>
      </c>
    </row>
    <row r="31" ht="12">
      <c r="B31" s="175" t="s">
        <v>302</v>
      </c>
    </row>
    <row r="32" ht="12">
      <c r="B32" s="175" t="s">
        <v>296</v>
      </c>
    </row>
    <row r="33" ht="12">
      <c r="B33" s="175" t="s">
        <v>297</v>
      </c>
    </row>
    <row r="34" ht="12">
      <c r="B34" s="175" t="s">
        <v>298</v>
      </c>
    </row>
    <row r="35" ht="12">
      <c r="B35" s="175" t="s">
        <v>299</v>
      </c>
    </row>
    <row r="36" ht="12">
      <c r="B36" s="175" t="s">
        <v>307</v>
      </c>
    </row>
    <row r="37" ht="12">
      <c r="B37" s="175" t="s">
        <v>315</v>
      </c>
    </row>
    <row r="38" ht="12">
      <c r="B38" s="175" t="s">
        <v>308</v>
      </c>
    </row>
    <row r="39" ht="12">
      <c r="B39" s="175" t="s">
        <v>295</v>
      </c>
    </row>
    <row r="40" ht="12">
      <c r="B40" s="175" t="s">
        <v>310</v>
      </c>
    </row>
    <row r="41" ht="12">
      <c r="B41" s="175" t="s">
        <v>309</v>
      </c>
    </row>
    <row r="42" ht="12">
      <c r="B42" s="175" t="s">
        <v>311</v>
      </c>
    </row>
    <row r="43" ht="12">
      <c r="B43" s="175" t="s">
        <v>312</v>
      </c>
    </row>
    <row r="45" ht="12">
      <c r="B45" s="171"/>
    </row>
    <row r="46" ht="12">
      <c r="B46" s="175"/>
    </row>
    <row r="47" ht="12">
      <c r="B47" s="175"/>
    </row>
    <row r="48" ht="12">
      <c r="B48" s="175"/>
    </row>
    <row r="49" ht="12">
      <c r="B49" s="175"/>
    </row>
    <row r="50" ht="12">
      <c r="B50" s="175"/>
    </row>
    <row r="51" ht="12">
      <c r="B51" s="175"/>
    </row>
    <row r="52" ht="12">
      <c r="B52" s="175"/>
    </row>
    <row r="53" ht="12">
      <c r="B53" s="175"/>
    </row>
    <row r="54" ht="12">
      <c r="B54" s="175"/>
    </row>
    <row r="55" ht="12">
      <c r="B55" s="175"/>
    </row>
    <row r="56" ht="12">
      <c r="B56" s="175"/>
    </row>
    <row r="57" ht="12">
      <c r="B57" s="175"/>
    </row>
    <row r="58" ht="12">
      <c r="B58" s="175"/>
    </row>
    <row r="59" ht="12">
      <c r="B59" s="175"/>
    </row>
  </sheetData>
  <sheetProtection/>
  <hyperlinks>
    <hyperlink ref="B23" r:id="rId1" display="Checklistan är hämtad från BoUpplysningens Köpa Bostad-guides checklista (Kap 4)"/>
    <hyperlink ref="B3" r:id="rId2" display="www.boupplysningen.se"/>
  </hyperlink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B2:C20"/>
  <sheetViews>
    <sheetView workbookViewId="0" topLeftCell="A1">
      <selection activeCell="H16" sqref="H16"/>
    </sheetView>
  </sheetViews>
  <sheetFormatPr defaultColWidth="9.140625" defaultRowHeight="12.75"/>
  <cols>
    <col min="1" max="1" width="4.421875" style="1" customWidth="1"/>
    <col min="2" max="2" width="16.140625" style="1" customWidth="1"/>
    <col min="3" max="16384" width="9.140625" style="1" customWidth="1"/>
  </cols>
  <sheetData>
    <row r="2" ht="12">
      <c r="B2" s="1" t="s">
        <v>318</v>
      </c>
    </row>
    <row r="3" ht="12">
      <c r="B3" s="1" t="s">
        <v>319</v>
      </c>
    </row>
    <row r="4" ht="12">
      <c r="B4" s="1" t="s">
        <v>320</v>
      </c>
    </row>
    <row r="5" ht="12">
      <c r="B5" s="1" t="s">
        <v>321</v>
      </c>
    </row>
    <row r="6" ht="12">
      <c r="B6" s="1" t="s">
        <v>322</v>
      </c>
    </row>
    <row r="8" spans="2:3" s="3" customFormat="1" ht="12">
      <c r="B8" s="204" t="s">
        <v>316</v>
      </c>
      <c r="C8" s="204" t="s">
        <v>317</v>
      </c>
    </row>
    <row r="9" spans="2:3" ht="12">
      <c r="B9" s="205" t="str">
        <f>IF(Prospekt!C16="","",Prospekt!C16)</f>
        <v>Lägenhet 1</v>
      </c>
      <c r="C9" s="205"/>
    </row>
    <row r="10" spans="2:3" ht="12">
      <c r="B10" s="205" t="str">
        <f>IF(Prospekt!C17="","",Prospekt!C17)</f>
        <v>Villa 1</v>
      </c>
      <c r="C10" s="205"/>
    </row>
    <row r="11" spans="2:3" ht="12">
      <c r="B11" s="205" t="str">
        <f>IF(Prospekt!C18="","",Prospekt!C18)</f>
        <v>Villa 2</v>
      </c>
      <c r="C11" s="205"/>
    </row>
    <row r="12" spans="2:3" ht="12">
      <c r="B12" s="205">
        <f>IF(Prospekt!C19="","",Prospekt!C19)</f>
      </c>
      <c r="C12" s="205"/>
    </row>
    <row r="13" spans="2:3" ht="12">
      <c r="B13" s="205">
        <f>IF(Prospekt!C20="","",Prospekt!C20)</f>
      </c>
      <c r="C13" s="205"/>
    </row>
    <row r="14" spans="2:3" ht="12">
      <c r="B14" s="205">
        <f>IF(Prospekt!C21="","",Prospekt!C21)</f>
      </c>
      <c r="C14" s="205"/>
    </row>
    <row r="15" spans="2:3" ht="12">
      <c r="B15" s="205">
        <f>IF(Prospekt!C22="","",Prospekt!C22)</f>
      </c>
      <c r="C15" s="205"/>
    </row>
    <row r="16" spans="2:3" ht="12">
      <c r="B16" s="205">
        <f>IF(Prospekt!C23="","",Prospekt!C23)</f>
      </c>
      <c r="C16" s="205"/>
    </row>
    <row r="17" spans="2:3" ht="12">
      <c r="B17" s="205">
        <f>IF(Prospekt!C24="","",Prospekt!C24)</f>
      </c>
      <c r="C17" s="205"/>
    </row>
    <row r="18" spans="2:3" ht="12">
      <c r="B18" s="205">
        <f>IF(Prospekt!C25="","",Prospekt!C25)</f>
      </c>
      <c r="C18" s="205"/>
    </row>
    <row r="19" spans="2:3" ht="12">
      <c r="B19" s="205">
        <f>IF(Prospekt!C26="","",Prospekt!C26)</f>
      </c>
      <c r="C19" s="205"/>
    </row>
    <row r="20" spans="2:3" ht="12">
      <c r="B20" s="205">
        <f>IF(Prospekt!C27="","",Prospekt!C27)</f>
      </c>
      <c r="C20" s="205"/>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FM9FY-TMF7Q-KCKCT-V9T29-TBBBG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Christoffer</dc:creator>
  <cp:keywords/>
  <dc:description/>
  <cp:lastModifiedBy>Christoffer Björkwall</cp:lastModifiedBy>
  <cp:lastPrinted>2010-05-16T06:17:03Z</cp:lastPrinted>
  <dcterms:created xsi:type="dcterms:W3CDTF">2007-07-10T08:59:30Z</dcterms:created>
  <dcterms:modified xsi:type="dcterms:W3CDTF">2014-09-16T08:23:00Z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